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468" activeTab="0"/>
  </bookViews>
  <sheets>
    <sheet name="SUPPORT ESTIMATE" sheetId="1" r:id="rId1"/>
    <sheet name="Support charts" sheetId="2" r:id="rId2"/>
    <sheet name="Parameter tables" sheetId="3" r:id="rId3"/>
  </sheets>
  <definedNames/>
  <calcPr fullCalcOnLoad="1"/>
</workbook>
</file>

<file path=xl/sharedStrings.xml><?xml version="1.0" encoding="utf-8"?>
<sst xmlns="http://schemas.openxmlformats.org/spreadsheetml/2006/main" count="519" uniqueCount="451">
  <si>
    <t>ground</t>
  </si>
  <si>
    <t>GW =</t>
  </si>
  <si>
    <t>m</t>
  </si>
  <si>
    <t>Tunnel shape:</t>
  </si>
  <si>
    <t>jA =</t>
  </si>
  <si>
    <t>jL =</t>
  </si>
  <si>
    <t>jC =</t>
  </si>
  <si>
    <t>JP =</t>
  </si>
  <si>
    <t>Db =</t>
  </si>
  <si>
    <r>
      <t>f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</t>
    </r>
  </si>
  <si>
    <t>RMi =</t>
  </si>
  <si>
    <t>Number of joint sets</t>
  </si>
  <si>
    <t>k =</t>
  </si>
  <si>
    <t>SL =</t>
  </si>
  <si>
    <t>Nj =</t>
  </si>
  <si>
    <t xml:space="preserve">Ratio    k = horizontal stress/vertical stress </t>
  </si>
  <si>
    <t>Type of ground in roof =</t>
  </si>
  <si>
    <t>Type of ground in walls =</t>
  </si>
  <si>
    <t>A =</t>
  </si>
  <si>
    <t>B =</t>
  </si>
  <si>
    <t>Granite</t>
  </si>
  <si>
    <t xml:space="preserve">Tz = </t>
  </si>
  <si>
    <t>TABLES WITH RATINGS AND VALUES OF SOME INPUT PARAMETERS TO RMi</t>
  </si>
  <si>
    <t>TABLE 1</t>
  </si>
  <si>
    <t>THE JOINT ROUGHNESS FACTOR  (jR)  (the ratings of  jR are similar to  Jr  in the Q-system)</t>
  </si>
  <si>
    <t>TABLE 6</t>
  </si>
  <si>
    <t xml:space="preserve">UNIAXIAL COMPRESSIVE STRENGTH AND THE  mi  FACTOR IN HOEK-BROWN FAILURE </t>
  </si>
  <si>
    <t>Small scale</t>
  </si>
  <si>
    <t>CRITERION FOR ROCK MASSES</t>
  </si>
  <si>
    <t>smoothness of</t>
  </si>
  <si>
    <t>Planar</t>
  </si>
  <si>
    <t>Slighty</t>
  </si>
  <si>
    <t>Uniaxial</t>
  </si>
  <si>
    <t>Rating of</t>
  </si>
  <si>
    <t>undulating</t>
  </si>
  <si>
    <t>(large scale)</t>
  </si>
  <si>
    <t>ROCK TYPE</t>
  </si>
  <si>
    <t>compressive</t>
  </si>
  <si>
    <t>the factor</t>
  </si>
  <si>
    <t>Very rough</t>
  </si>
  <si>
    <t>strength (MPa)</t>
  </si>
  <si>
    <r>
      <t>m</t>
    </r>
    <r>
      <rPr>
        <i/>
        <vertAlign val="subscript"/>
        <sz val="9"/>
        <rFont val="Arial"/>
        <family val="2"/>
      </rPr>
      <t>i</t>
    </r>
  </si>
  <si>
    <t>Rough</t>
  </si>
  <si>
    <t>low - average - high</t>
  </si>
  <si>
    <t>(see notes)</t>
  </si>
  <si>
    <t>SEDIMENTARY ROCKS</t>
  </si>
  <si>
    <t>Coal</t>
  </si>
  <si>
    <t>16 - 21- 26</t>
  </si>
  <si>
    <t>Amphibolite</t>
  </si>
  <si>
    <t xml:space="preserve"> 75 - 125 - 250</t>
  </si>
  <si>
    <t>Smooth</t>
  </si>
  <si>
    <t>Claystone</t>
  </si>
  <si>
    <t xml:space="preserve"> 2 - 5 - 10</t>
  </si>
  <si>
    <t>Amphibolitic gneiss</t>
  </si>
  <si>
    <t xml:space="preserve"> 95 - 160 - 230</t>
  </si>
  <si>
    <t>(31)</t>
  </si>
  <si>
    <t>Conglomerate</t>
  </si>
  <si>
    <t>70 - 85 - 100</t>
  </si>
  <si>
    <t>(20)</t>
  </si>
  <si>
    <t>Augen gneiss</t>
  </si>
  <si>
    <t>(30)</t>
  </si>
  <si>
    <t>Coral chalk</t>
  </si>
  <si>
    <t xml:space="preserve"> 3 - 10 - 18</t>
  </si>
  <si>
    <t>7.2</t>
  </si>
  <si>
    <t>Black shale</t>
  </si>
  <si>
    <t>35 - 70 - 105</t>
  </si>
  <si>
    <t>Dolomite</t>
  </si>
  <si>
    <t xml:space="preserve"> 60 - 100 - 300</t>
  </si>
  <si>
    <t>10.1</t>
  </si>
  <si>
    <t>Garnet mica schist</t>
  </si>
  <si>
    <t xml:space="preserve"> 75 - 105 - 130</t>
  </si>
  <si>
    <r>
      <t>*)</t>
    </r>
    <r>
      <rPr>
        <sz val="7"/>
        <rFont val="Arial"/>
        <family val="2"/>
      </rPr>
      <t xml:space="preserve"> For slickensided joints the rating of  jR depends on the presence and appearance of striations; the highest value is used for marked striations</t>
    </r>
  </si>
  <si>
    <t>Limestone</t>
  </si>
  <si>
    <t xml:space="preserve"> 50 - 100 - 180</t>
  </si>
  <si>
    <t>8.4</t>
  </si>
  <si>
    <t>Granite gneiss</t>
  </si>
  <si>
    <t xml:space="preserve"> 80 - 120 - 155</t>
  </si>
  <si>
    <t>Mudstone</t>
  </si>
  <si>
    <t xml:space="preserve"> 45 - 95 - 145</t>
  </si>
  <si>
    <t>Granulite</t>
  </si>
  <si>
    <t xml:space="preserve"> 80 -  150 - 280</t>
  </si>
  <si>
    <t>TABLE 2</t>
  </si>
  <si>
    <t>THE JOINT ALTERATION FACTOR  (jA)  (the ratings of  jA are similar to  Ja  in the Q-system)</t>
  </si>
  <si>
    <t>Shale</t>
  </si>
  <si>
    <t xml:space="preserve"> 36 - 95 - 172</t>
  </si>
  <si>
    <t>Gneiss</t>
  </si>
  <si>
    <t xml:space="preserve"> 80 - 130 - 185</t>
  </si>
  <si>
    <t>29.2</t>
  </si>
  <si>
    <t>A.  CONTACT BETWEEN THE TWO JOINT WALLS</t>
  </si>
  <si>
    <t>Sandstone</t>
  </si>
  <si>
    <t xml:space="preserve"> 75 - 120 - 160</t>
  </si>
  <si>
    <t>18.8</t>
  </si>
  <si>
    <t>Gneiss granite</t>
  </si>
  <si>
    <t xml:space="preserve"> 65 - 105 - 140</t>
  </si>
  <si>
    <t>Joint wall character</t>
  </si>
  <si>
    <t>Description</t>
  </si>
  <si>
    <t>Rating of  jA</t>
  </si>
  <si>
    <t>Siltstone</t>
  </si>
  <si>
    <t xml:space="preserve"> 10 - 80 - 180</t>
  </si>
  <si>
    <t>9.6</t>
  </si>
  <si>
    <t>Greenschist</t>
  </si>
  <si>
    <t>65 - 75 - 85</t>
  </si>
  <si>
    <t>CLEAN JOINTS:</t>
  </si>
  <si>
    <t>Healed or welded joints</t>
  </si>
  <si>
    <t xml:space="preserve"> Non-softening, impermeable filling (quartz, epidote, etc.)</t>
  </si>
  <si>
    <t>Tuff</t>
  </si>
  <si>
    <t xml:space="preserve">  3 - 25 - 150</t>
  </si>
  <si>
    <t>Greenstone</t>
  </si>
  <si>
    <t>120 - 170 - 280</t>
  </si>
  <si>
    <t>Fresh joint walls</t>
  </si>
  <si>
    <t xml:space="preserve"> No coating or filling in joint, except from staining (rust)</t>
  </si>
  <si>
    <t>IGNEOUS ROCKS</t>
  </si>
  <si>
    <t>Andesite</t>
  </si>
  <si>
    <t>75 - 140 - 300</t>
  </si>
  <si>
    <t>18.9</t>
  </si>
  <si>
    <t>Greywacke</t>
  </si>
  <si>
    <t>100 - 120 - 145</t>
  </si>
  <si>
    <t>Altered joint walls</t>
  </si>
  <si>
    <t xml:space="preserve"> One grade higher alteration than the rock in the block</t>
  </si>
  <si>
    <t>Anorthosite</t>
  </si>
  <si>
    <t>40 - 125 - 210</t>
  </si>
  <si>
    <t>Marble</t>
  </si>
  <si>
    <t xml:space="preserve"> 60 - 130 - 230</t>
  </si>
  <si>
    <t>9.3</t>
  </si>
  <si>
    <t xml:space="preserve"> Two grades higher alteration than the rock in the block</t>
  </si>
  <si>
    <t>Basalt</t>
  </si>
  <si>
    <t>100 - 165 - 355</t>
  </si>
  <si>
    <t>(17)</t>
  </si>
  <si>
    <t>Mica gneiss</t>
  </si>
  <si>
    <t>55 - 80 - 100</t>
  </si>
  <si>
    <t xml:space="preserve">COATING OR </t>
  </si>
  <si>
    <t>Friction materials</t>
  </si>
  <si>
    <t xml:space="preserve"> Materials of sand, silt calcite, etc. without content of clay</t>
  </si>
  <si>
    <t>Diabase (dolerite)</t>
  </si>
  <si>
    <t>227 - 280 - 319</t>
  </si>
  <si>
    <t>15.2</t>
  </si>
  <si>
    <t>Mica quartzite</t>
  </si>
  <si>
    <t>45 - 85 - 125</t>
  </si>
  <si>
    <t>(25)</t>
  </si>
  <si>
    <t>THIN FILLING OF:</t>
  </si>
  <si>
    <t>Cohesive materials</t>
  </si>
  <si>
    <t xml:space="preserve"> Materials of clay, chlorite, talc, etc.</t>
  </si>
  <si>
    <t>Diorite</t>
  </si>
  <si>
    <t>100 - 140 - 190</t>
  </si>
  <si>
    <t>(27)</t>
  </si>
  <si>
    <t>Mica schist</t>
  </si>
  <si>
    <t>20 - 80 - 170</t>
  </si>
  <si>
    <t>(15)</t>
  </si>
  <si>
    <t>B.  FILLED JOINTS WITH PARTLY OR NO JOINT WALL CONTACT</t>
  </si>
  <si>
    <t>Partly wall contact</t>
  </si>
  <si>
    <t>No wall contact</t>
  </si>
  <si>
    <t>Gabbro</t>
  </si>
  <si>
    <t>190 - 240 - 285</t>
  </si>
  <si>
    <t>25.8</t>
  </si>
  <si>
    <t>Mylonite</t>
  </si>
  <si>
    <t>65 - 90 - 120</t>
  </si>
  <si>
    <t>Type of filling</t>
  </si>
  <si>
    <t>Thin filling</t>
  </si>
  <si>
    <t>Thick filling</t>
  </si>
  <si>
    <t>32.7</t>
  </si>
  <si>
    <t>Phyllite</t>
  </si>
  <si>
    <t>21 - 50 - 80</t>
  </si>
  <si>
    <t>(13)</t>
  </si>
  <si>
    <t>or gouge</t>
  </si>
  <si>
    <t>Granodiorite</t>
  </si>
  <si>
    <t xml:space="preserve"> 75 - 105 - 135</t>
  </si>
  <si>
    <t>Quartz sandstone</t>
  </si>
  <si>
    <t xml:space="preserve"> 70 - 120 - 175</t>
  </si>
  <si>
    <t xml:space="preserve"> Sand, silt calcite, etc. without content of clay</t>
  </si>
  <si>
    <t>Monzonite</t>
  </si>
  <si>
    <t xml:space="preserve"> 85 - 145 - 230</t>
  </si>
  <si>
    <t>Quartzite</t>
  </si>
  <si>
    <t xml:space="preserve"> 75 - 145 - 245</t>
  </si>
  <si>
    <t>23.7</t>
  </si>
  <si>
    <t>Hard cohesive materials</t>
  </si>
  <si>
    <t xml:space="preserve"> Compacted filling of clay, chlorite, talc, etc.</t>
  </si>
  <si>
    <t>Nepheline syenite</t>
  </si>
  <si>
    <t>125 - 165 - 200</t>
  </si>
  <si>
    <t>Quartzitic phyllite</t>
  </si>
  <si>
    <t xml:space="preserve"> 45 - 100 - 155</t>
  </si>
  <si>
    <t>Soft cohesive materials</t>
  </si>
  <si>
    <t xml:space="preserve"> Medium to low overconsolidated clay, chlorite, talc, etc.</t>
  </si>
  <si>
    <t>Norite</t>
  </si>
  <si>
    <t>290 - 298 - 326</t>
  </si>
  <si>
    <t>21.7</t>
  </si>
  <si>
    <t>Serpentinite</t>
  </si>
  <si>
    <t xml:space="preserve"> 65 - 135 - 200</t>
  </si>
  <si>
    <t>Swelling clay materials</t>
  </si>
  <si>
    <t xml:space="preserve"> Filling material exhibits swelling properties</t>
  </si>
  <si>
    <t xml:space="preserve"> 8 - 12</t>
  </si>
  <si>
    <t xml:space="preserve"> 12 - 20</t>
  </si>
  <si>
    <t>Pegmatite</t>
  </si>
  <si>
    <t>39 - 50 - 62</t>
  </si>
  <si>
    <t>Slate</t>
  </si>
  <si>
    <t>120 - 190 - 300</t>
  </si>
  <si>
    <t>11.4</t>
  </si>
  <si>
    <t>Rhyolite</t>
  </si>
  <si>
    <t xml:space="preserve"> - 85 ? -</t>
  </si>
  <si>
    <t>Talc schist</t>
  </si>
  <si>
    <t>45 - 65 - 90</t>
  </si>
  <si>
    <t>(10)</t>
  </si>
  <si>
    <t>TABLE 3</t>
  </si>
  <si>
    <t>THE JOINT SIZE FACTOR  (jL)</t>
  </si>
  <si>
    <t>Syenite</t>
  </si>
  <si>
    <t xml:space="preserve"> 75 - 150 - 230</t>
  </si>
  <si>
    <t>Joint length</t>
  </si>
  <si>
    <t>Type</t>
  </si>
  <si>
    <r>
      <t>Continuous joints</t>
    </r>
    <r>
      <rPr>
        <vertAlign val="superscript"/>
        <sz val="8"/>
        <rFont val="Arial"/>
        <family val="2"/>
      </rPr>
      <t>*)</t>
    </r>
  </si>
  <si>
    <t>Discontinuous joints</t>
  </si>
  <si>
    <t>Ultrabasic rock</t>
  </si>
  <si>
    <t xml:space="preserve"> 80 - 160 - 360</t>
  </si>
  <si>
    <t>SOIL</t>
  </si>
  <si>
    <t>Very soft clay</t>
  </si>
  <si>
    <t>Stiff clay</t>
  </si>
  <si>
    <t>0.1 - 0.25</t>
  </si>
  <si>
    <t xml:space="preserve"> Joint</t>
  </si>
  <si>
    <t>Soft clay</t>
  </si>
  <si>
    <t>0.025 - 0.05</t>
  </si>
  <si>
    <t>Very stiff clay</t>
  </si>
  <si>
    <t>0.25 - 0.5</t>
  </si>
  <si>
    <t>Firm clay</t>
  </si>
  <si>
    <t>0.05 - 0.1</t>
  </si>
  <si>
    <t>Hard clay</t>
  </si>
  <si>
    <t>0.5 - 1</t>
  </si>
  <si>
    <t>Silt, sand</t>
  </si>
  <si>
    <t>(assumed)</t>
  </si>
  <si>
    <t xml:space="preserve"> (Filled) joint, seam or shear **)</t>
  </si>
  <si>
    <t>Note 2: Values in brackets have been assumed</t>
  </si>
  <si>
    <t>*) Discontinuous joints end i massive rock</t>
  </si>
  <si>
    <t>TABLE 4</t>
  </si>
  <si>
    <r>
      <t>VALUES OF THE BLOCK SHAPE FACTOR  (</t>
    </r>
    <r>
      <rPr>
        <i/>
        <sz val="9"/>
        <rFont val="Symbol"/>
        <family val="1"/>
      </rPr>
      <t xml:space="preserve"> b) </t>
    </r>
    <r>
      <rPr>
        <i/>
        <sz val="9"/>
        <rFont val="Arial"/>
        <family val="2"/>
      </rPr>
      <t xml:space="preserve"> FOR SOME CHARACTERISTIC BLOCK SHAPES</t>
    </r>
  </si>
  <si>
    <t>TABLE 5</t>
  </si>
  <si>
    <t>FACTORS APPLIED IN THE CALCULATIONS OF ROCK SUPPORT</t>
  </si>
  <si>
    <t>IN WALL</t>
  </si>
  <si>
    <t>IN ROOF</t>
  </si>
  <si>
    <t xml:space="preserve"> TERM</t>
  </si>
  <si>
    <t xml:space="preserve">Rating of </t>
  </si>
  <si>
    <t>all strikes</t>
  </si>
  <si>
    <r>
      <t>dip &lt; 20</t>
    </r>
    <r>
      <rPr>
        <vertAlign val="superscript"/>
        <sz val="8"/>
        <rFont val="Arial"/>
        <family val="2"/>
      </rPr>
      <t>o</t>
    </r>
  </si>
  <si>
    <r>
      <t>dip &gt; 45</t>
    </r>
    <r>
      <rPr>
        <vertAlign val="superscript"/>
        <sz val="8"/>
        <rFont val="Arial"/>
        <family val="2"/>
      </rPr>
      <t>o</t>
    </r>
  </si>
  <si>
    <t xml:space="preserve"> favourable</t>
  </si>
  <si>
    <r>
      <t>dip = 20 - 45</t>
    </r>
    <r>
      <rPr>
        <vertAlign val="superscript"/>
        <sz val="8"/>
        <rFont val="Arial"/>
        <family val="2"/>
      </rPr>
      <t>o</t>
    </r>
  </si>
  <si>
    <t xml:space="preserve"> fair</t>
  </si>
  <si>
    <t xml:space="preserve"> -</t>
  </si>
  <si>
    <t xml:space="preserve"> unfavourable</t>
  </si>
  <si>
    <t xml:space="preserve"> very unfavourable</t>
  </si>
  <si>
    <t xml:space="preserve"> nj = 0.5 for random joints only;  nj = 1 for one joint set; nj = 1.5 for one set plus random</t>
  </si>
  <si>
    <t xml:space="preserve"> nj = 2 for two sets;  nj = 2.5 for two sets plus random;  nj = 3 for three sets; etc. </t>
  </si>
  <si>
    <t>Joint roughness</t>
  </si>
  <si>
    <t>jR =</t>
  </si>
  <si>
    <t>Ground water</t>
  </si>
  <si>
    <t>INTERIM CALCULATIONS</t>
  </si>
  <si>
    <t>Tz &gt; Dt?</t>
  </si>
  <si>
    <t>Tz &gt; Wt?</t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</si>
  <si>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 xml:space="preserve">  See detailed ratings of  jR  in Table 1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</si>
  <si>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 xml:space="preserve">  See detailed ratings of  jA  in Table 2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</si>
  <si>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 xml:space="preserve">  See detailed ratings of  jL  in Table 3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</si>
  <si>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t>unfavourable joint orientations occur and high water pressure can build up,</t>
  </si>
  <si>
    <r>
      <t xml:space="preserve">Wall support </t>
    </r>
    <r>
      <rPr>
        <sz val="8"/>
        <rFont val="Arial"/>
        <family val="2"/>
      </rPr>
      <t xml:space="preserve">(for vertical walls) </t>
    </r>
  </si>
  <si>
    <r>
      <t>CF</t>
    </r>
    <r>
      <rPr>
        <vertAlign val="subscript"/>
        <sz val="8"/>
        <rFont val="Arial"/>
        <family val="2"/>
      </rPr>
      <t>roof</t>
    </r>
    <r>
      <rPr>
        <sz val="8"/>
        <rFont val="Arial"/>
        <family val="2"/>
      </rPr>
      <t xml:space="preserve"> =</t>
    </r>
  </si>
  <si>
    <r>
      <t>CF</t>
    </r>
    <r>
      <rPr>
        <vertAlign val="subscript"/>
        <sz val="8"/>
        <rFont val="Arial"/>
        <family val="2"/>
      </rPr>
      <t>wall</t>
    </r>
    <r>
      <rPr>
        <sz val="8"/>
        <rFont val="Arial"/>
        <family val="2"/>
      </rPr>
      <t xml:space="preserve"> =</t>
    </r>
  </si>
  <si>
    <r>
      <t xml:space="preserve"> </t>
    </r>
    <r>
      <rPr>
        <sz val="9"/>
        <rFont val="Symbol"/>
        <family val="1"/>
      </rPr>
      <t xml:space="preserve"> s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= </t>
    </r>
  </si>
  <si>
    <t xml:space="preserve">Water may sometimes reduce the stability; for example, where </t>
  </si>
  <si>
    <t xml:space="preserve">k = </t>
  </si>
  <si>
    <t xml:space="preserve">H = </t>
  </si>
  <si>
    <t>M E T A M O R P H I C    R O C K S</t>
  </si>
  <si>
    <t xml:space="preserve"> *)  1 = favourable; 1.5 = fair; 2 = unfavourable; 3 = very unfavourable</t>
  </si>
  <si>
    <r>
      <t>b</t>
    </r>
    <r>
      <rPr>
        <sz val="10"/>
        <rFont val="Arial"/>
        <family val="2"/>
      </rPr>
      <t xml:space="preserve"> = </t>
    </r>
  </si>
  <si>
    <t>no</t>
  </si>
  <si>
    <t>Water pressure</t>
  </si>
  <si>
    <t xml:space="preserve"> builds up? *)</t>
  </si>
  <si>
    <t>*) Pressure can build up on joints parallel to walls or roof</t>
  </si>
  <si>
    <t xml:space="preserve"> Major influence</t>
  </si>
  <si>
    <t xml:space="preserve"> Moderate influence</t>
  </si>
  <si>
    <t xml:space="preserve"> Minor influence</t>
  </si>
  <si>
    <t>Clay-containing or unfavourable joints</t>
  </si>
  <si>
    <t>Clay-containing and unfavourable joints</t>
  </si>
  <si>
    <t>Does water</t>
  </si>
  <si>
    <t>inflow soften?</t>
  </si>
  <si>
    <t xml:space="preserve">             yes            and           yes</t>
  </si>
  <si>
    <t xml:space="preserve">             yes             or            yes</t>
  </si>
  <si>
    <t>Rating of  GW</t>
  </si>
  <si>
    <r>
      <t xml:space="preserve">*) For stability in high </t>
    </r>
    <r>
      <rPr>
        <u val="single"/>
        <sz val="8"/>
        <rFont val="Arial"/>
        <family val="2"/>
      </rPr>
      <t>walls</t>
    </r>
    <r>
      <rPr>
        <sz val="8"/>
        <rFont val="Arial"/>
        <family val="2"/>
      </rPr>
      <t xml:space="preserve"> a high </t>
    </r>
  </si>
  <si>
    <t xml:space="preserve">  stress level may be unfavourable.</t>
  </si>
  <si>
    <t xml:space="preserve">  Possible rating SL = 0.5 - 0.75</t>
  </si>
  <si>
    <t xml:space="preserve"> 2.  Ratings for</t>
  </si>
  <si>
    <r>
      <t xml:space="preserve"> 1.5 </t>
    </r>
    <r>
      <rPr>
        <vertAlign val="superscript"/>
        <sz val="8"/>
        <rFont val="Arial"/>
        <family val="2"/>
      </rPr>
      <t>*)</t>
    </r>
  </si>
  <si>
    <t xml:space="preserve">  0.1</t>
  </si>
  <si>
    <t xml:space="preserve">  0.5</t>
  </si>
  <si>
    <t xml:space="preserve">  1</t>
  </si>
  <si>
    <t>All joints</t>
  </si>
  <si>
    <t>0.0001 - 0.001</t>
  </si>
  <si>
    <t xml:space="preserve"> Very low stress level  (in portals, etc.)</t>
  </si>
  <si>
    <t xml:space="preserve"> Low stress level</t>
  </si>
  <si>
    <t xml:space="preserve"> Moderate stress level</t>
  </si>
  <si>
    <t xml:space="preserve"> High stress level</t>
  </si>
  <si>
    <t xml:space="preserve">     (1 = brittle; 2 = ductile or deformable)  </t>
  </si>
  <si>
    <t>Your own comments:</t>
  </si>
  <si>
    <r>
      <t xml:space="preserve">  </t>
    </r>
    <r>
      <rPr>
        <sz val="9"/>
        <rFont val="Arial"/>
        <family val="2"/>
      </rPr>
      <t xml:space="preserve">   Vb = </t>
    </r>
  </si>
  <si>
    <t>**) Often a singlular discontinuity with significant impact and should in these cases be evaluated separately</t>
  </si>
  <si>
    <r>
      <t xml:space="preserve">(1 = one set; 1.5 = one set + random; 2 = two sets; 2.5 = two sets + random; etc.)    </t>
    </r>
    <r>
      <rPr>
        <sz val="8"/>
        <rFont val="Arial"/>
        <family val="2"/>
      </rPr>
      <t xml:space="preserve">nj = </t>
    </r>
  </si>
  <si>
    <r>
      <t xml:space="preserve">(2 = short (0.1-1m); 1 = medium (1-10m); 0.75 = long (10-30m); 0.5 = very long)    </t>
    </r>
    <r>
      <rPr>
        <sz val="9"/>
        <rFont val="Arial"/>
        <family val="2"/>
      </rPr>
      <t xml:space="preserve"> jL = </t>
    </r>
  </si>
  <si>
    <r>
      <t xml:space="preserve"> (1 = fresh; 2 = sand coating; 4 = clay coating; 8 = clay filling)    </t>
    </r>
    <r>
      <rPr>
        <sz val="9"/>
        <rFont val="Arial"/>
        <family val="2"/>
      </rPr>
      <t xml:space="preserve"> jA =</t>
    </r>
    <r>
      <rPr>
        <sz val="6.5"/>
        <color indexed="12"/>
        <rFont val="Arial"/>
        <family val="2"/>
      </rPr>
      <t xml:space="preserve"> </t>
    </r>
  </si>
  <si>
    <t xml:space="preserve"> (1 = horse-shoe; 2 = square; 3 = circular; 4 = high horse-shoe)</t>
  </si>
  <si>
    <t>(to be used for 1 - 20m wide zones)</t>
  </si>
  <si>
    <t>(CF = continuity factor)</t>
  </si>
  <si>
    <t>Project:</t>
  </si>
  <si>
    <t xml:space="preserve">Location: </t>
  </si>
  <si>
    <t xml:space="preserve">Tunnel: </t>
  </si>
  <si>
    <t xml:space="preserve">Rock(s): </t>
  </si>
  <si>
    <t>Note 1: The Hoek - Brown failure criterion for rock masses</t>
  </si>
  <si>
    <r>
      <t>(1 = little or no influence on stability; 2 = moderate influence; 5 = major influence)</t>
    </r>
    <r>
      <rPr>
        <sz val="8"/>
        <color indexed="12"/>
        <rFont val="Arial"/>
        <family val="2"/>
      </rPr>
      <t xml:space="preserve"> </t>
    </r>
    <r>
      <rPr>
        <sz val="8"/>
        <color indexed="56"/>
        <rFont val="Arial"/>
        <family val="2"/>
      </rPr>
      <t xml:space="preserve"> </t>
    </r>
    <r>
      <rPr>
        <sz val="8"/>
        <rFont val="Arial"/>
        <family val="2"/>
      </rPr>
      <t xml:space="preserve">  GW =  </t>
    </r>
  </si>
  <si>
    <r>
      <t xml:space="preserve">RMi Rock Support Method </t>
    </r>
    <r>
      <rPr>
        <b/>
        <sz val="12"/>
        <rFont val="Arial"/>
        <family val="2"/>
      </rPr>
      <t>for estimates in underground openings</t>
    </r>
  </si>
  <si>
    <t>**) for discontinuous joints: double the ratings shown</t>
  </si>
  <si>
    <t>Stepped or Interlocking</t>
  </si>
  <si>
    <t>Strongly undulating</t>
  </si>
  <si>
    <t>Undulating</t>
  </si>
  <si>
    <t>Polished or slickensided *)</t>
  </si>
  <si>
    <t xml:space="preserve">For filled joints   jR = 1     </t>
  </si>
  <si>
    <r>
      <t xml:space="preserve">(1 = smooth &amp; planar; 2 = smooth &amp; undulating; 1.5 = rough &amp; planar; 3 = rough &amp; undul.)    </t>
    </r>
    <r>
      <rPr>
        <sz val="9"/>
        <rFont val="Arial"/>
        <family val="2"/>
      </rPr>
      <t>jR =</t>
    </r>
    <r>
      <rPr>
        <sz val="9"/>
        <color indexed="12"/>
        <rFont val="Arial"/>
        <family val="2"/>
      </rPr>
      <t xml:space="preserve"> </t>
    </r>
  </si>
  <si>
    <t>joint surface</t>
  </si>
  <si>
    <t>Large scale waviness of joint plane</t>
  </si>
  <si>
    <t>Irregular or stepped (small scale)</t>
  </si>
  <si>
    <t>and in tunnels where water inflow can soften clay-containing joints if they occur.</t>
  </si>
  <si>
    <r>
      <t>Co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= </t>
    </r>
  </si>
  <si>
    <t>roof</t>
  </si>
  <si>
    <t>wall</t>
  </si>
  <si>
    <r>
      <t>Co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=</t>
    </r>
  </si>
  <si>
    <r>
      <t>Co</t>
    </r>
    <r>
      <rPr>
        <sz val="8"/>
        <rFont val="Arial"/>
        <family val="2"/>
      </rPr>
      <t xml:space="preserve"> =</t>
    </r>
  </si>
  <si>
    <r>
      <t>Co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 xml:space="preserve"> =</t>
    </r>
  </si>
  <si>
    <r>
      <t>Co</t>
    </r>
    <r>
      <rPr>
        <vertAlign val="subscript"/>
        <sz val="8"/>
        <rFont val="Arial"/>
        <family val="2"/>
      </rPr>
      <t xml:space="preserve">S </t>
    </r>
    <r>
      <rPr>
        <sz val="8"/>
        <rFont val="Arial"/>
        <family val="2"/>
      </rPr>
      <t xml:space="preserve"> =</t>
    </r>
  </si>
  <si>
    <r>
      <t>s</t>
    </r>
    <r>
      <rPr>
        <vertAlign val="subscript"/>
        <sz val="8"/>
        <rFont val="Symbol"/>
        <family val="1"/>
      </rPr>
      <t>q</t>
    </r>
    <r>
      <rPr>
        <vertAlign val="subscript"/>
        <sz val="8"/>
        <rFont val="Arial"/>
        <family val="2"/>
      </rPr>
      <t xml:space="preserve">  </t>
    </r>
    <r>
      <rPr>
        <sz val="8"/>
        <rFont val="Arial"/>
        <family val="2"/>
      </rPr>
      <t>=</t>
    </r>
  </si>
  <si>
    <r>
      <t>s</t>
    </r>
    <r>
      <rPr>
        <vertAlign val="subscript"/>
        <sz val="8"/>
        <rFont val="Symbol"/>
        <family val="1"/>
      </rPr>
      <t>q</t>
    </r>
    <r>
      <rPr>
        <sz val="8"/>
        <rFont val="Arial"/>
        <family val="2"/>
      </rPr>
      <t xml:space="preserve">  =</t>
    </r>
  </si>
  <si>
    <t xml:space="preserve">Ts = </t>
  </si>
  <si>
    <r>
      <t xml:space="preserve"> 1. Ratings for </t>
    </r>
    <r>
      <rPr>
        <b/>
        <sz val="9"/>
        <rFont val="Arial"/>
        <family val="2"/>
      </rPr>
      <t>orientation</t>
    </r>
  </si>
  <si>
    <t>&lt; 0.5m</t>
  </si>
  <si>
    <t>&lt; 1m</t>
  </si>
  <si>
    <t>0.1 - 1m</t>
  </si>
  <si>
    <t>1 - 10m</t>
  </si>
  <si>
    <t>10 - 30m</t>
  </si>
  <si>
    <t>&gt; 30m</t>
  </si>
  <si>
    <t>&lt; 10m</t>
  </si>
  <si>
    <t>10 - 35m</t>
  </si>
  <si>
    <t>35 - 350m</t>
  </si>
  <si>
    <t>&gt; 350m</t>
  </si>
  <si>
    <t xml:space="preserve"> Crack</t>
  </si>
  <si>
    <r>
      <t xml:space="preserve">Orientation of main joint set (or of zone) in roof </t>
    </r>
    <r>
      <rPr>
        <sz val="8"/>
        <color indexed="12"/>
        <rFont val="Arial"/>
        <family val="2"/>
      </rPr>
      <t xml:space="preserve">*)   </t>
    </r>
    <r>
      <rPr>
        <sz val="8"/>
        <rFont val="Arial"/>
        <family val="2"/>
      </rPr>
      <t xml:space="preserve">                                          </t>
    </r>
  </si>
  <si>
    <r>
      <t xml:space="preserve">Orientation of main joint set (or of zone) in wall </t>
    </r>
    <r>
      <rPr>
        <sz val="8"/>
        <color indexed="12"/>
        <rFont val="Arial"/>
        <family val="2"/>
      </rPr>
      <t xml:space="preserve">*)  </t>
    </r>
    <r>
      <rPr>
        <sz val="8"/>
        <rFont val="Arial"/>
        <family val="2"/>
      </rPr>
      <t xml:space="preserve">                                           </t>
    </r>
  </si>
  <si>
    <r>
      <t xml:space="preserve">Thickness or width of </t>
    </r>
    <r>
      <rPr>
        <b/>
        <sz val="8"/>
        <rFont val="Arial"/>
        <family val="2"/>
      </rPr>
      <t>weakness zone</t>
    </r>
    <r>
      <rPr>
        <sz val="8"/>
        <rFont val="Arial"/>
        <family val="2"/>
      </rPr>
      <t xml:space="preserve"> (m)                                                            </t>
    </r>
  </si>
  <si>
    <t>For discontinuous ground</t>
  </si>
  <si>
    <t>For continuous ground</t>
  </si>
  <si>
    <t>The necessary input parameters for RMi rock support estimate are given to the left.</t>
  </si>
  <si>
    <t>Block shape factor</t>
  </si>
  <si>
    <t xml:space="preserve"> o</t>
  </si>
  <si>
    <t>C =</t>
  </si>
  <si>
    <t>Gc =</t>
  </si>
  <si>
    <t xml:space="preserve">roof </t>
  </si>
  <si>
    <t>ESTIMATED ROCK SUPPORT</t>
  </si>
  <si>
    <t xml:space="preserve">      Rating of SL</t>
  </si>
  <si>
    <t>Ca. overburden</t>
  </si>
  <si>
    <r>
      <t xml:space="preserve">  3. Ratings for </t>
    </r>
    <r>
      <rPr>
        <b/>
        <sz val="9"/>
        <rFont val="Arial"/>
        <family val="2"/>
      </rPr>
      <t>stress level</t>
    </r>
    <r>
      <rPr>
        <sz val="9"/>
        <rFont val="Arial"/>
        <family val="2"/>
      </rPr>
      <t xml:space="preserve">  (SL)</t>
    </r>
  </si>
  <si>
    <r>
      <t xml:space="preserve">5. Ratings for the </t>
    </r>
    <r>
      <rPr>
        <b/>
        <sz val="9"/>
        <rFont val="Arial"/>
        <family val="2"/>
      </rPr>
      <t>number</t>
    </r>
  </si>
  <si>
    <r>
      <t xml:space="preserve">4. Ratings for </t>
    </r>
    <r>
      <rPr>
        <b/>
        <sz val="9"/>
        <rFont val="Arial"/>
        <family val="2"/>
      </rPr>
      <t>tunnel or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</si>
  <si>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>See detailed description of  GW  in Table 4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</si>
  <si>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>See detailed ratings of  Co  in Table 4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</si>
  <si>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 xml:space="preserve">See detailed ratings of  </t>
    </r>
    <r>
      <rPr>
        <i/>
        <sz val="9"/>
        <color indexed="12"/>
        <rFont val="Symbol"/>
        <family val="1"/>
      </rPr>
      <t>b</t>
    </r>
    <r>
      <rPr>
        <i/>
        <sz val="9"/>
        <color indexed="12"/>
        <rFont val="Arial"/>
        <family val="2"/>
      </rPr>
      <t xml:space="preserve">  in Table 6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</si>
  <si>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&lt;</t>
    </r>
    <r>
      <rPr>
        <i/>
        <sz val="13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>See detailed ratings of  Co</t>
    </r>
    <r>
      <rPr>
        <i/>
        <vertAlign val="subscript"/>
        <sz val="9"/>
        <color indexed="12"/>
        <rFont val="Arial"/>
        <family val="2"/>
      </rPr>
      <t>s</t>
    </r>
    <r>
      <rPr>
        <i/>
        <sz val="9"/>
        <color indexed="12"/>
        <rFont val="Arial"/>
        <family val="2"/>
      </rPr>
      <t xml:space="preserve">  in Table 4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</si>
  <si>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 xml:space="preserve"> </t>
    </r>
    <r>
      <rPr>
        <sz val="9"/>
        <rFont val="Arial"/>
        <family val="2"/>
      </rPr>
      <t xml:space="preserve">C = 5 - 4 cos </t>
    </r>
    <r>
      <rPr>
        <sz val="9"/>
        <rFont val="Symbol"/>
        <family val="1"/>
      </rPr>
      <t>d</t>
    </r>
    <r>
      <rPr>
        <sz val="8"/>
        <rFont val="Symbol"/>
        <family val="1"/>
      </rPr>
      <t xml:space="preserve">     (d =</t>
    </r>
    <r>
      <rPr>
        <sz val="8"/>
        <rFont val="Arial"/>
        <family val="2"/>
      </rPr>
      <t xml:space="preserve"> inclination of tunnel axis)</t>
    </r>
  </si>
  <si>
    <r>
      <t>( C = 1  for horisontal roof; C = 1.5 / 2.2 / 3  for 30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/ 45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/ 60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roofs (in shafts) ; C = 5  for vertical wall )</t>
    </r>
  </si>
  <si>
    <r>
      <t xml:space="preserve">    </t>
    </r>
    <r>
      <rPr>
        <b/>
        <sz val="9"/>
        <rFont val="Arial"/>
        <family val="2"/>
      </rPr>
      <t xml:space="preserve">ground water </t>
    </r>
    <r>
      <rPr>
        <sz val="9"/>
        <rFont val="Arial"/>
        <family val="2"/>
      </rPr>
      <t xml:space="preserve"> (GW)</t>
    </r>
  </si>
  <si>
    <r>
      <t xml:space="preserve">    </t>
    </r>
    <r>
      <rPr>
        <b/>
        <sz val="9"/>
        <rFont val="Arial"/>
        <family val="2"/>
      </rPr>
      <t xml:space="preserve">shaft inclination </t>
    </r>
    <r>
      <rPr>
        <sz val="9"/>
        <rFont val="Arial"/>
        <family val="2"/>
      </rPr>
      <t xml:space="preserve"> (C)</t>
    </r>
  </si>
  <si>
    <r>
      <t xml:space="preserve">     </t>
    </r>
    <r>
      <rPr>
        <b/>
        <sz val="9"/>
        <rFont val="Arial"/>
        <family val="2"/>
      </rPr>
      <t xml:space="preserve">of joint sets </t>
    </r>
    <r>
      <rPr>
        <sz val="9"/>
        <rFont val="Arial"/>
        <family val="2"/>
      </rPr>
      <t xml:space="preserve">  (nj)</t>
    </r>
  </si>
  <si>
    <t>(&lt; approx. 5mm)</t>
  </si>
  <si>
    <t xml:space="preserve"> Bedding or foliation parting</t>
  </si>
  <si>
    <t>(small)</t>
  </si>
  <si>
    <t>(medium)</t>
  </si>
  <si>
    <t>(long or large)</t>
  </si>
  <si>
    <r>
      <t>TABLE 4</t>
    </r>
    <r>
      <rPr>
        <i/>
        <sz val="9"/>
        <rFont val="Arial"/>
        <family val="2"/>
      </rPr>
      <t xml:space="preserve">  (continued)</t>
    </r>
  </si>
  <si>
    <r>
      <t>strike &gt; 30</t>
    </r>
    <r>
      <rPr>
        <vertAlign val="superscript"/>
        <sz val="8"/>
        <rFont val="Arial"/>
        <family val="2"/>
      </rPr>
      <t>o</t>
    </r>
  </si>
  <si>
    <r>
      <t>strike &lt; 30</t>
    </r>
    <r>
      <rPr>
        <vertAlign val="superscript"/>
        <sz val="8"/>
        <rFont val="Arial"/>
        <family val="2"/>
      </rPr>
      <t>o</t>
    </r>
  </si>
  <si>
    <t xml:space="preserve">     of main joints, </t>
  </si>
  <si>
    <t xml:space="preserve">     seam or zone     </t>
  </si>
  <si>
    <r>
      <t>( Co, Co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 xml:space="preserve"> or  Co</t>
    </r>
    <r>
      <rPr>
        <vertAlign val="subscript"/>
        <sz val="10"/>
        <rFont val="Arial"/>
        <family val="2"/>
      </rPr>
      <t>z</t>
    </r>
    <r>
      <rPr>
        <sz val="10"/>
        <rFont val="Arial"/>
        <family val="2"/>
      </rPr>
      <t xml:space="preserve"> )</t>
    </r>
  </si>
  <si>
    <r>
      <t>Co, Co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 and   Co</t>
    </r>
    <r>
      <rPr>
        <vertAlign val="subscript"/>
        <sz val="9"/>
        <rFont val="Arial"/>
        <family val="2"/>
      </rPr>
      <t>z</t>
    </r>
  </si>
  <si>
    <r>
      <t xml:space="preserve"> &lt;</t>
    </r>
    <r>
      <rPr>
        <i/>
        <sz val="11"/>
        <color indexed="12"/>
        <rFont val="Arial"/>
        <family val="2"/>
      </rPr>
      <t>---</t>
    </r>
    <r>
      <rPr>
        <i/>
        <sz val="9"/>
        <color indexed="12"/>
        <rFont val="Arial"/>
        <family val="2"/>
      </rPr>
      <t xml:space="preserve"> Some common strength values for rocks are given in Table 5 in the </t>
    </r>
    <r>
      <rPr>
        <b/>
        <i/>
        <sz val="9"/>
        <color indexed="12"/>
        <rFont val="Arial"/>
        <family val="2"/>
      </rPr>
      <t>'Info Tables'</t>
    </r>
    <r>
      <rPr>
        <i/>
        <sz val="9"/>
        <color indexed="12"/>
        <rFont val="Arial"/>
        <family val="2"/>
      </rPr>
      <t xml:space="preserve"> sheet</t>
    </r>
  </si>
  <si>
    <r>
      <t>Co or Co</t>
    </r>
    <r>
      <rPr>
        <vertAlign val="subscript"/>
        <sz val="9"/>
        <rFont val="Arial"/>
        <family val="2"/>
      </rPr>
      <t>z</t>
    </r>
    <r>
      <rPr>
        <sz val="9"/>
        <rFont val="Arial"/>
        <family val="2"/>
      </rPr>
      <t xml:space="preserve"> = </t>
    </r>
  </si>
  <si>
    <t>(to be used for &lt; 1m thick seams)</t>
  </si>
  <si>
    <t>Roof support</t>
  </si>
  <si>
    <t xml:space="preserve">Roof inclination </t>
  </si>
  <si>
    <t xml:space="preserve">        Relevant overburden   (m)                                                                            </t>
  </si>
  <si>
    <t xml:space="preserve">        Measured or estimated vertical stress (MPa)</t>
  </si>
  <si>
    <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</si>
  <si>
    <r>
      <t>s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 =</t>
    </r>
  </si>
  <si>
    <r>
      <t>s</t>
    </r>
    <r>
      <rPr>
        <vertAlign val="subscript"/>
        <sz val="8"/>
        <rFont val="Arial"/>
        <family val="2"/>
      </rPr>
      <t>h</t>
    </r>
    <r>
      <rPr>
        <sz val="8"/>
        <rFont val="Arial"/>
        <family val="2"/>
      </rPr>
      <t xml:space="preserve">  =</t>
    </r>
  </si>
  <si>
    <t xml:space="preserve">or can be estimated, fill in values also in those (white) cells. </t>
  </si>
  <si>
    <t>Common values will be automatically used for white input cells with no value.</t>
  </si>
  <si>
    <t>When possible stress problems may occur, value must be given inone of the grey cells.</t>
  </si>
  <si>
    <t>INPUT PARAMETER DATA</t>
  </si>
  <si>
    <r>
      <t>Gc</t>
    </r>
    <r>
      <rPr>
        <b/>
        <vertAlign val="subscript"/>
        <sz val="8"/>
        <rFont val="Arial"/>
        <family val="2"/>
      </rPr>
      <t>roof</t>
    </r>
    <r>
      <rPr>
        <b/>
        <sz val="8"/>
        <rFont val="Arial"/>
        <family val="2"/>
      </rPr>
      <t xml:space="preserve"> =</t>
    </r>
  </si>
  <si>
    <r>
      <t>Gc</t>
    </r>
    <r>
      <rPr>
        <b/>
        <vertAlign val="subscript"/>
        <sz val="8"/>
        <rFont val="Arial"/>
        <family val="2"/>
      </rPr>
      <t>wall</t>
    </r>
    <r>
      <rPr>
        <b/>
        <sz val="8"/>
        <rFont val="Arial"/>
        <family val="2"/>
      </rPr>
      <t xml:space="preserve"> =</t>
    </r>
  </si>
  <si>
    <r>
      <t>Sr</t>
    </r>
    <r>
      <rPr>
        <b/>
        <vertAlign val="subscript"/>
        <sz val="8"/>
        <rFont val="Arial"/>
        <family val="2"/>
      </rPr>
      <t xml:space="preserve"> roof </t>
    </r>
    <r>
      <rPr>
        <b/>
        <sz val="8"/>
        <rFont val="Arial"/>
        <family val="2"/>
      </rPr>
      <t xml:space="preserve"> =</t>
    </r>
  </si>
  <si>
    <r>
      <t>Sr</t>
    </r>
    <r>
      <rPr>
        <b/>
        <vertAlign val="subscript"/>
        <sz val="8"/>
        <rFont val="Arial"/>
        <family val="2"/>
      </rPr>
      <t xml:space="preserve"> wall</t>
    </r>
    <r>
      <rPr>
        <b/>
        <sz val="8"/>
        <rFont val="Arial"/>
        <family val="2"/>
      </rPr>
      <t xml:space="preserve"> =</t>
    </r>
  </si>
  <si>
    <r>
      <t>Cg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=</t>
    </r>
  </si>
  <si>
    <t>Cg  =</t>
  </si>
  <si>
    <t xml:space="preserve">support charts (See this sheet) and values for the support parameters  Gc </t>
  </si>
  <si>
    <t>and  Sr  used in the discontinuous chart (or  Cg  in the continuous chart)</t>
  </si>
  <si>
    <t>All yellow cells must be filled. Where knowledge on other parameters is available</t>
  </si>
  <si>
    <t>the right answer for all types of rock masses and ground conditions.</t>
  </si>
  <si>
    <t>You may better check the rock support estimated here, using the  RMi  rock</t>
  </si>
  <si>
    <r>
      <t xml:space="preserve"> &lt;</t>
    </r>
    <r>
      <rPr>
        <i/>
        <sz val="13"/>
        <color indexed="12"/>
        <rFont val="Arial"/>
        <family val="2"/>
      </rPr>
      <t xml:space="preserve">--- </t>
    </r>
    <r>
      <rPr>
        <i/>
        <sz val="9"/>
        <color indexed="12"/>
        <rFont val="Arial"/>
        <family val="2"/>
      </rPr>
      <t>See detailed ratings of  nj  in Table 4 in the '</t>
    </r>
    <r>
      <rPr>
        <b/>
        <i/>
        <sz val="9"/>
        <color indexed="12"/>
        <rFont val="Arial"/>
        <family val="2"/>
      </rPr>
      <t>Info tables</t>
    </r>
    <r>
      <rPr>
        <i/>
        <sz val="9"/>
        <color indexed="12"/>
        <rFont val="Arial"/>
        <family val="2"/>
      </rPr>
      <t>' sheet</t>
    </r>
  </si>
  <si>
    <r>
      <t>Only rock bolts</t>
    </r>
    <r>
      <rPr>
        <sz val="9"/>
        <rFont val="Arial"/>
        <family val="2"/>
      </rPr>
      <t xml:space="preserve">  </t>
    </r>
  </si>
  <si>
    <r>
      <t>Rock bolts combined with shotcrete</t>
    </r>
    <r>
      <rPr>
        <sz val="8"/>
        <rFont val="Arial"/>
        <family val="2"/>
      </rPr>
      <t xml:space="preserve"> </t>
    </r>
  </si>
  <si>
    <t>Special designed support</t>
  </si>
  <si>
    <t>Only rock bolts</t>
  </si>
  <si>
    <t>Rock bolts combined with shotcrete</t>
  </si>
  <si>
    <r>
      <t xml:space="preserve">Shotcrete; </t>
    </r>
    <r>
      <rPr>
        <sz val="8"/>
        <rFont val="Arial"/>
        <family val="2"/>
      </rPr>
      <t>average thickness</t>
    </r>
  </si>
  <si>
    <t xml:space="preserve">The spreadsheet is only a help in the rock design process. It will not give </t>
  </si>
  <si>
    <r>
      <t xml:space="preserve">Rock bolts combined; </t>
    </r>
    <r>
      <rPr>
        <sz val="8"/>
        <rFont val="Arial"/>
        <family val="2"/>
      </rPr>
      <t>bolt spacing</t>
    </r>
  </si>
  <si>
    <r>
      <t>Rock bolts combined;</t>
    </r>
    <r>
      <rPr>
        <sz val="8"/>
        <rFont val="Arial"/>
        <family val="2"/>
      </rPr>
      <t xml:space="preserve"> bolt spacing</t>
    </r>
  </si>
  <si>
    <t>Try to understand the geological setting and the actual site conditions</t>
  </si>
  <si>
    <r>
      <t>Compressive strength</t>
    </r>
    <r>
      <rPr>
        <sz val="8"/>
        <rFont val="Arial"/>
        <family val="2"/>
      </rPr>
      <t xml:space="preserve"> of intact rock   (MPa)                                  </t>
    </r>
  </si>
  <si>
    <r>
      <t>Block volume</t>
    </r>
    <r>
      <rPr>
        <sz val="8"/>
        <rFont val="Arial"/>
        <family val="2"/>
      </rPr>
      <t xml:space="preserve">  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)                                               </t>
    </r>
  </si>
  <si>
    <r>
      <t>Tunnel span</t>
    </r>
    <r>
      <rPr>
        <sz val="8"/>
        <rFont val="Arial"/>
        <family val="2"/>
      </rPr>
      <t xml:space="preserve"> Dt =</t>
    </r>
  </si>
  <si>
    <r>
      <t xml:space="preserve"> </t>
    </r>
    <r>
      <rPr>
        <b/>
        <sz val="8"/>
        <rFont val="Arial"/>
        <family val="2"/>
      </rPr>
      <t>Wall height</t>
    </r>
    <r>
      <rPr>
        <sz val="8"/>
        <rFont val="Arial"/>
        <family val="2"/>
      </rPr>
      <t xml:space="preserve"> Wt =</t>
    </r>
  </si>
  <si>
    <t>PERMANENT</t>
  </si>
  <si>
    <t>ROCK SUPPORT</t>
  </si>
  <si>
    <t xml:space="preserve">Rock behaviour (competent or incompetent) </t>
  </si>
  <si>
    <r>
      <t>Joint alteration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</t>
    </r>
  </si>
  <si>
    <r>
      <t xml:space="preserve">Joint size </t>
    </r>
    <r>
      <rPr>
        <sz val="8"/>
        <color indexed="12"/>
        <rFont val="Arial"/>
        <family val="2"/>
      </rPr>
      <t>**)</t>
    </r>
  </si>
  <si>
    <r>
      <t xml:space="preserve"> in</t>
    </r>
    <r>
      <rPr>
        <b/>
        <i/>
        <sz val="10"/>
        <rFont val="Arial"/>
        <family val="2"/>
      </rPr>
      <t xml:space="preserve"> continuous</t>
    </r>
  </si>
  <si>
    <t xml:space="preserve"> RMI =</t>
  </si>
  <si>
    <r>
      <t xml:space="preserve">   Occurrence of a </t>
    </r>
    <r>
      <rPr>
        <b/>
        <sz val="8"/>
        <rFont val="Arial"/>
        <family val="2"/>
      </rPr>
      <t xml:space="preserve">seam </t>
    </r>
    <r>
      <rPr>
        <sz val="8"/>
        <rFont val="Arial"/>
        <family val="2"/>
      </rPr>
      <t>(filled joint) &lt; 1 m thick (m)</t>
    </r>
  </si>
  <si>
    <r>
      <t xml:space="preserve">   Orientation of the </t>
    </r>
    <r>
      <rPr>
        <u val="single"/>
        <sz val="8"/>
        <rFont val="Arial"/>
        <family val="2"/>
      </rPr>
      <t xml:space="preserve">seam </t>
    </r>
    <r>
      <rPr>
        <sz val="8"/>
        <rFont val="Arial"/>
        <family val="2"/>
      </rPr>
      <t xml:space="preserve">in roof </t>
    </r>
    <r>
      <rPr>
        <sz val="8"/>
        <color indexed="12"/>
        <rFont val="Arial"/>
        <family val="2"/>
      </rPr>
      <t xml:space="preserve">*)   </t>
    </r>
    <r>
      <rPr>
        <sz val="8"/>
        <rFont val="Arial"/>
        <family val="2"/>
      </rPr>
      <t xml:space="preserve">                                          </t>
    </r>
  </si>
  <si>
    <r>
      <t xml:space="preserve">   Orientation of the </t>
    </r>
    <r>
      <rPr>
        <u val="single"/>
        <sz val="8"/>
        <rFont val="Arial"/>
        <family val="2"/>
      </rPr>
      <t>seam</t>
    </r>
    <r>
      <rPr>
        <sz val="8"/>
        <rFont val="Arial"/>
        <family val="2"/>
      </rPr>
      <t xml:space="preserve"> in wall </t>
    </r>
    <r>
      <rPr>
        <sz val="8"/>
        <color indexed="12"/>
        <rFont val="Arial"/>
        <family val="2"/>
      </rPr>
      <t xml:space="preserve">*)  </t>
    </r>
    <r>
      <rPr>
        <sz val="8"/>
        <rFont val="Arial"/>
        <family val="2"/>
      </rPr>
      <t xml:space="preserve">                                           </t>
    </r>
  </si>
  <si>
    <t>for experienced users</t>
  </si>
  <si>
    <r>
      <t>b</t>
    </r>
    <r>
      <rPr>
        <sz val="8"/>
        <rFont val="Arial"/>
        <family val="2"/>
      </rPr>
      <t xml:space="preserve"> = 27  for cubical blocks;</t>
    </r>
    <r>
      <rPr>
        <sz val="8"/>
        <rFont val="Symbol"/>
        <family val="1"/>
      </rPr>
      <t xml:space="preserve"> b</t>
    </r>
    <r>
      <rPr>
        <sz val="8"/>
        <rFont val="Arial"/>
        <family val="2"/>
      </rPr>
      <t xml:space="preserve"> = 36  for slightly long or flat blocks;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= 75  for long or flat blocks;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= 250  for very long or flat blocks,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= 750  for extremely long or flat blocks</t>
    </r>
  </si>
  <si>
    <r>
      <t xml:space="preserve">(27 = cubical; 36 = slightly long or flat; 75 = long or flat; 250 = very long or flat)    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b</t>
    </r>
    <r>
      <rPr>
        <sz val="9"/>
        <rFont val="Arial"/>
        <family val="2"/>
      </rPr>
      <t xml:space="preserve"> =</t>
    </r>
    <r>
      <rPr>
        <sz val="6.5"/>
        <color indexed="12"/>
        <rFont val="Arial"/>
        <family val="2"/>
      </rPr>
      <t xml:space="preserve"> </t>
    </r>
  </si>
  <si>
    <t xml:space="preserve">(for circular tunnels: use Dt and Wt = 0.6 of tunnel diam.) </t>
  </si>
  <si>
    <t>Do not forget to apply engineering and geological judgement to evaluate the values</t>
  </si>
  <si>
    <t>of the input parameters, as well as the behaviour of the ground in the tunnel</t>
  </si>
  <si>
    <t>when selecting the input parameter ratings.</t>
  </si>
  <si>
    <t>version 3.1    2008.07.18</t>
  </si>
  <si>
    <t>In blocky ground</t>
  </si>
  <si>
    <t>In continuous ground</t>
  </si>
  <si>
    <r>
      <t xml:space="preserve">Reference: A. Palmström, www.rockmass.net, </t>
    </r>
    <r>
      <rPr>
        <sz val="9"/>
        <rFont val="Arial"/>
        <family val="2"/>
      </rPr>
      <t xml:space="preserve">RMI support </t>
    </r>
  </si>
  <si>
    <t>password: RMi-3.1</t>
  </si>
  <si>
    <t xml:space="preserve">   HINTS WHEN  USING THE RMi ROCK SUPPORT SPREADSHEET, version 3.1</t>
  </si>
  <si>
    <r>
      <t xml:space="preserve">Sprayed concrete; </t>
    </r>
    <r>
      <rPr>
        <sz val="8"/>
        <rFont val="Arial"/>
        <family val="2"/>
      </rPr>
      <t xml:space="preserve">average thickness </t>
    </r>
    <r>
      <rPr>
        <sz val="9"/>
        <rFont val="Arial"/>
        <family val="2"/>
      </rPr>
      <t xml:space="preserve">                                                        </t>
    </r>
  </si>
  <si>
    <r>
      <t xml:space="preserve">Sprayed concrete; </t>
    </r>
    <r>
      <rPr>
        <sz val="8"/>
        <rFont val="Arial"/>
        <family val="2"/>
      </rPr>
      <t>average thickness</t>
    </r>
  </si>
  <si>
    <t xml:space="preserve">Fibre reinforcement recommended? </t>
  </si>
  <si>
    <t>Fibre reinforcement recommended?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</si>
</sst>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ú&quot;#,##0;\-&quot;ú&quot;#,##0"/>
    <numFmt numFmtId="187" formatCode="&quot;ú&quot;#,##0;[Red]\-&quot;ú&quot;#,##0"/>
    <numFmt numFmtId="188" formatCode="&quot;ú&quot;#,##0.00;\-&quot;ú&quot;#,##0.00"/>
    <numFmt numFmtId="189" formatCode="&quot;ú&quot;#,##0.00;[Red]\-&quot;ú&quot;#,##0.00"/>
    <numFmt numFmtId="190" formatCode="_-&quot;ú&quot;* #,##0_-;\-&quot;ú&quot;* #,##0_-;_-&quot;ú&quot;* &quot;-&quot;_-;_-@_-"/>
    <numFmt numFmtId="191" formatCode="_-&quot;ú&quot;* #,##0.00_-;\-&quot;ú&quot;* #,##0.00_-;_-&quot;ú&quot;* &quot;-&quot;??_-;_-@_-"/>
    <numFmt numFmtId="192" formatCode="0.0"/>
    <numFmt numFmtId="193" formatCode="0.000"/>
    <numFmt numFmtId="194" formatCode="0.000000"/>
    <numFmt numFmtId="195" formatCode="0.0000"/>
  </numFmts>
  <fonts count="1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7"/>
      <name val="Arial"/>
      <family val="2"/>
    </font>
    <font>
      <vertAlign val="superscript"/>
      <sz val="8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sz val="10"/>
      <name val="Symbol"/>
      <family val="1"/>
    </font>
    <font>
      <vertAlign val="subscript"/>
      <sz val="8"/>
      <name val="Symbol"/>
      <family val="1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6.5"/>
      <color indexed="12"/>
      <name val="Arial"/>
      <family val="2"/>
    </font>
    <font>
      <sz val="11"/>
      <name val="Arial"/>
      <family val="2"/>
    </font>
    <font>
      <i/>
      <vertAlign val="subscript"/>
      <sz val="9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9"/>
      <name val="Symbol"/>
      <family val="1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0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13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i/>
      <sz val="11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u val="single"/>
      <sz val="12.5"/>
      <color indexed="12"/>
      <name val="MS Sans Serif"/>
      <family val="2"/>
    </font>
    <font>
      <u val="single"/>
      <sz val="12.5"/>
      <color indexed="36"/>
      <name val="MS Sans Serif"/>
      <family val="2"/>
    </font>
    <font>
      <sz val="1"/>
      <name val="Arial"/>
      <family val="2"/>
    </font>
    <font>
      <b/>
      <sz val="8"/>
      <color indexed="10"/>
      <name val="Arial"/>
      <family val="2"/>
    </font>
    <font>
      <sz val="7"/>
      <color indexed="56"/>
      <name val="Arial"/>
      <family val="2"/>
    </font>
    <font>
      <i/>
      <sz val="8"/>
      <color indexed="56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8"/>
      <color indexed="10"/>
      <name val="Arial"/>
      <family val="2"/>
    </font>
    <font>
      <sz val="9"/>
      <color indexed="8"/>
      <name val="Arial"/>
      <family val="2"/>
    </font>
    <font>
      <b/>
      <i/>
      <sz val="9"/>
      <color indexed="10"/>
      <name val="Arial"/>
      <family val="2"/>
    </font>
    <font>
      <i/>
      <sz val="9"/>
      <color indexed="8"/>
      <name val="Arial"/>
      <family val="2"/>
    </font>
    <font>
      <sz val="8"/>
      <color indexed="17"/>
      <name val="Arial"/>
      <family val="2"/>
    </font>
    <font>
      <i/>
      <sz val="9"/>
      <color indexed="10"/>
      <name val="Arial"/>
      <family val="2"/>
    </font>
    <font>
      <sz val="7"/>
      <color indexed="12"/>
      <name val="Arial"/>
      <family val="2"/>
    </font>
    <font>
      <sz val="9"/>
      <color indexed="56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9"/>
      <color indexed="12"/>
      <name val="Symbol"/>
      <family val="1"/>
    </font>
    <font>
      <i/>
      <vertAlign val="subscript"/>
      <sz val="9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8"/>
      <name val="Arial"/>
      <family val="2"/>
    </font>
    <font>
      <sz val="5"/>
      <name val="Arial"/>
      <family val="2"/>
    </font>
    <font>
      <i/>
      <sz val="7"/>
      <color indexed="10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8"/>
      <color indexed="48"/>
      <name val="Arial"/>
      <family val="2"/>
    </font>
    <font>
      <sz val="1"/>
      <color indexed="22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color rgb="FF3333FF"/>
      <name val="Arial"/>
      <family val="2"/>
    </font>
    <font>
      <sz val="1"/>
      <color theme="0" tint="-0.24997000396251678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uble"/>
      <top>
        <color indexed="63"/>
      </top>
      <bottom style="hair"/>
    </border>
    <border>
      <left style="thin"/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tted"/>
      <bottom style="dotted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95" fillId="20" borderId="1" applyNumberFormat="0" applyAlignment="0" applyProtection="0"/>
    <xf numFmtId="0" fontId="96" fillId="21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99" fillId="23" borderId="1" applyNumberFormat="0" applyAlignment="0" applyProtection="0"/>
    <xf numFmtId="0" fontId="100" fillId="0" borderId="2" applyNumberFormat="0" applyFill="0" applyAlignment="0" applyProtection="0"/>
    <xf numFmtId="40" fontId="0" fillId="0" borderId="0" applyFont="0" applyFill="0" applyBorder="0" applyAlignment="0" applyProtection="0"/>
    <xf numFmtId="0" fontId="101" fillId="24" borderId="3" applyNumberFormat="0" applyAlignment="0" applyProtection="0"/>
    <xf numFmtId="0" fontId="0" fillId="25" borderId="4" applyNumberFormat="0" applyFont="0" applyAlignment="0" applyProtection="0"/>
    <xf numFmtId="0" fontId="102" fillId="26" borderId="0" applyNumberFormat="0" applyBorder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38" fontId="0" fillId="0" borderId="0" applyFont="0" applyFill="0" applyBorder="0" applyAlignment="0" applyProtection="0"/>
    <xf numFmtId="0" fontId="108" fillId="20" borderId="9" applyNumberFormat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9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22" xfId="0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5" xfId="0" applyFont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49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8" fillId="0" borderId="21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49" fontId="8" fillId="33" borderId="0" xfId="0" applyNumberFormat="1" applyFont="1" applyFill="1" applyBorder="1" applyAlignment="1">
      <alignment horizontal="centerContinuous"/>
    </xf>
    <xf numFmtId="0" fontId="1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20" fillId="33" borderId="0" xfId="0" applyFont="1" applyFill="1" applyBorder="1" applyAlignment="1">
      <alignment horizontal="left"/>
    </xf>
    <xf numFmtId="0" fontId="27" fillId="33" borderId="37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8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8" fillId="33" borderId="29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29" xfId="0" applyFont="1" applyBorder="1" applyAlignment="1">
      <alignment/>
    </xf>
    <xf numFmtId="49" fontId="8" fillId="0" borderId="29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 horizontal="left"/>
    </xf>
    <xf numFmtId="0" fontId="8" fillId="0" borderId="28" xfId="0" applyFont="1" applyBorder="1" applyAlignment="1">
      <alignment/>
    </xf>
    <xf numFmtId="0" fontId="0" fillId="0" borderId="30" xfId="0" applyBorder="1" applyAlignment="1">
      <alignment/>
    </xf>
    <xf numFmtId="0" fontId="8" fillId="0" borderId="30" xfId="0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27" fillId="33" borderId="28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1" fillId="33" borderId="35" xfId="0" applyFont="1" applyFill="1" applyBorder="1" applyAlignment="1">
      <alignment horizontal="right"/>
    </xf>
    <xf numFmtId="0" fontId="21" fillId="33" borderId="3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Continuous"/>
    </xf>
    <xf numFmtId="0" fontId="8" fillId="33" borderId="29" xfId="0" applyFont="1" applyFill="1" applyBorder="1" applyAlignment="1">
      <alignment horizontal="centerContinuous"/>
    </xf>
    <xf numFmtId="0" fontId="13" fillId="33" borderId="29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left"/>
    </xf>
    <xf numFmtId="0" fontId="8" fillId="33" borderId="2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0" borderId="17" xfId="0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8" fillId="33" borderId="3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33" borderId="40" xfId="0" applyFont="1" applyFill="1" applyBorder="1" applyAlignment="1">
      <alignment horizontal="left"/>
    </xf>
    <xf numFmtId="0" fontId="8" fillId="33" borderId="40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16" fontId="8" fillId="33" borderId="41" xfId="0" applyNumberFormat="1" applyFont="1" applyFill="1" applyBorder="1" applyAlignment="1">
      <alignment horizontal="center"/>
    </xf>
    <xf numFmtId="17" fontId="8" fillId="33" borderId="42" xfId="0" applyNumberFormat="1" applyFont="1" applyFill="1" applyBorder="1" applyAlignment="1">
      <alignment horizontal="center"/>
    </xf>
    <xf numFmtId="17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44" xfId="0" applyFont="1" applyFill="1" applyBorder="1" applyAlignment="1">
      <alignment/>
    </xf>
    <xf numFmtId="0" fontId="8" fillId="33" borderId="44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33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36" xfId="0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40" xfId="0" applyBorder="1" applyAlignment="1">
      <alignment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33" borderId="0" xfId="0" applyFont="1" applyFill="1" applyBorder="1" applyAlignment="1">
      <alignment horizontal="right" vertical="top"/>
    </xf>
    <xf numFmtId="0" fontId="22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Continuous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horizontal="right" vertical="top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5" fillId="0" borderId="5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10" fillId="0" borderId="36" xfId="0" applyFont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5" fillId="0" borderId="5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top"/>
    </xf>
    <xf numFmtId="0" fontId="8" fillId="0" borderId="0" xfId="0" applyFont="1" applyBorder="1" applyAlignment="1">
      <alignment/>
    </xf>
    <xf numFmtId="0" fontId="7" fillId="33" borderId="5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58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5" fillId="0" borderId="56" xfId="0" applyFont="1" applyBorder="1" applyAlignment="1">
      <alignment/>
    </xf>
    <xf numFmtId="49" fontId="8" fillId="0" borderId="35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60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6" fillId="0" borderId="29" xfId="0" applyFont="1" applyBorder="1" applyAlignment="1">
      <alignment horizontal="left" vertical="center"/>
    </xf>
    <xf numFmtId="0" fontId="8" fillId="0" borderId="64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Continuous" vertical="center"/>
    </xf>
    <xf numFmtId="0" fontId="8" fillId="0" borderId="54" xfId="0" applyFont="1" applyFill="1" applyBorder="1" applyAlignment="1">
      <alignment horizontal="centerContinuous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45" fillId="33" borderId="0" xfId="0" applyFont="1" applyFill="1" applyBorder="1" applyAlignment="1" applyProtection="1">
      <alignment horizontal="left" vertical="center"/>
      <protection hidden="1"/>
    </xf>
    <xf numFmtId="0" fontId="31" fillId="33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32" fillId="0" borderId="0" xfId="0" applyFont="1" applyFill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33" borderId="29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/>
      <protection hidden="1"/>
    </xf>
    <xf numFmtId="0" fontId="31" fillId="0" borderId="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right"/>
      <protection hidden="1"/>
    </xf>
    <xf numFmtId="0" fontId="40" fillId="0" borderId="0" xfId="0" applyNumberFormat="1" applyFont="1" applyFill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right"/>
      <protection hidden="1"/>
    </xf>
    <xf numFmtId="0" fontId="35" fillId="0" borderId="0" xfId="0" applyNumberFormat="1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Alignment="1" applyProtection="1">
      <alignment/>
      <protection hidden="1"/>
    </xf>
    <xf numFmtId="0" fontId="38" fillId="0" borderId="0" xfId="0" applyFont="1" applyFill="1" applyAlignment="1" applyProtection="1">
      <alignment horizontal="left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69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49" fontId="5" fillId="0" borderId="50" xfId="0" applyNumberFormat="1" applyFont="1" applyBorder="1" applyAlignment="1" applyProtection="1">
      <alignment/>
      <protection hidden="1"/>
    </xf>
    <xf numFmtId="0" fontId="5" fillId="0" borderId="70" xfId="0" applyFont="1" applyBorder="1" applyAlignment="1" applyProtection="1">
      <alignment/>
      <protection hidden="1"/>
    </xf>
    <xf numFmtId="0" fontId="10" fillId="33" borderId="70" xfId="0" applyFont="1" applyFill="1" applyBorder="1" applyAlignment="1" applyProtection="1">
      <alignment/>
      <protection hidden="1"/>
    </xf>
    <xf numFmtId="0" fontId="5" fillId="33" borderId="7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5" fillId="0" borderId="22" xfId="0" applyFont="1" applyBorder="1" applyAlignment="1" applyProtection="1">
      <alignment/>
      <protection hidden="1"/>
    </xf>
    <xf numFmtId="0" fontId="10" fillId="33" borderId="24" xfId="0" applyFont="1" applyFill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8" fillId="0" borderId="71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46" fillId="0" borderId="16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20" xfId="0" applyFont="1" applyBorder="1" applyAlignment="1" applyProtection="1">
      <alignment horizontal="right"/>
      <protection hidden="1"/>
    </xf>
    <xf numFmtId="0" fontId="13" fillId="33" borderId="72" xfId="0" applyFont="1" applyFill="1" applyBorder="1" applyAlignment="1" applyProtection="1">
      <alignment horizontal="center"/>
      <protection hidden="1"/>
    </xf>
    <xf numFmtId="0" fontId="10" fillId="33" borderId="14" xfId="0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/>
      <protection hidden="1"/>
    </xf>
    <xf numFmtId="0" fontId="13" fillId="33" borderId="73" xfId="0" applyFont="1" applyFill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right"/>
      <protection hidden="1"/>
    </xf>
    <xf numFmtId="0" fontId="21" fillId="33" borderId="17" xfId="0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5" fillId="0" borderId="28" xfId="0" applyFont="1" applyBorder="1" applyAlignment="1" applyProtection="1">
      <alignment/>
      <protection hidden="1"/>
    </xf>
    <xf numFmtId="0" fontId="10" fillId="33" borderId="29" xfId="0" applyFont="1" applyFill="1" applyBorder="1" applyAlignment="1" applyProtection="1">
      <alignment/>
      <protection hidden="1"/>
    </xf>
    <xf numFmtId="0" fontId="8" fillId="0" borderId="49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47" fillId="33" borderId="72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47" fillId="0" borderId="33" xfId="0" applyFont="1" applyBorder="1" applyAlignment="1" applyProtection="1">
      <alignment horizontal="center" vertical="top"/>
      <protection hidden="1"/>
    </xf>
    <xf numFmtId="0" fontId="13" fillId="33" borderId="72" xfId="0" applyFont="1" applyFill="1" applyBorder="1" applyAlignment="1" applyProtection="1">
      <alignment horizontal="right"/>
      <protection hidden="1"/>
    </xf>
    <xf numFmtId="0" fontId="13" fillId="33" borderId="73" xfId="0" applyFont="1" applyFill="1" applyBorder="1" applyAlignment="1" applyProtection="1">
      <alignment horizontal="right" vertical="top"/>
      <protection hidden="1"/>
    </xf>
    <xf numFmtId="0" fontId="8" fillId="0" borderId="34" xfId="0" applyFont="1" applyBorder="1" applyAlignment="1" applyProtection="1">
      <alignment horizontal="right"/>
      <protection hidden="1"/>
    </xf>
    <xf numFmtId="0" fontId="8" fillId="0" borderId="74" xfId="0" applyFont="1" applyBorder="1" applyAlignment="1" applyProtection="1">
      <alignment horizontal="right"/>
      <protection hidden="1"/>
    </xf>
    <xf numFmtId="0" fontId="8" fillId="0" borderId="75" xfId="0" applyFont="1" applyBorder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33" borderId="41" xfId="0" applyFont="1" applyFill="1" applyBorder="1" applyAlignment="1" applyProtection="1">
      <alignment/>
      <protection hidden="1"/>
    </xf>
    <xf numFmtId="0" fontId="13" fillId="33" borderId="76" xfId="0" applyFont="1" applyFill="1" applyBorder="1" applyAlignment="1" applyProtection="1">
      <alignment horizontal="right" vertical="top"/>
      <protection hidden="1"/>
    </xf>
    <xf numFmtId="0" fontId="17" fillId="0" borderId="2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right"/>
      <protection hidden="1"/>
    </xf>
    <xf numFmtId="0" fontId="5" fillId="0" borderId="77" xfId="0" applyFont="1" applyBorder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47" fillId="0" borderId="31" xfId="0" applyFont="1" applyBorder="1" applyAlignment="1" applyProtection="1">
      <alignment horizontal="right"/>
      <protection hidden="1"/>
    </xf>
    <xf numFmtId="0" fontId="53" fillId="0" borderId="71" xfId="0" applyFont="1" applyFill="1" applyBorder="1" applyAlignment="1" applyProtection="1">
      <alignment horizontal="center"/>
      <protection hidden="1"/>
    </xf>
    <xf numFmtId="0" fontId="23" fillId="0" borderId="15" xfId="0" applyFont="1" applyBorder="1" applyAlignment="1" applyProtection="1">
      <alignment horizontal="center"/>
      <protection hidden="1"/>
    </xf>
    <xf numFmtId="0" fontId="56" fillId="33" borderId="16" xfId="0" applyFont="1" applyFill="1" applyBorder="1" applyAlignment="1" applyProtection="1">
      <alignment horizontal="left"/>
      <protection hidden="1"/>
    </xf>
    <xf numFmtId="0" fontId="24" fillId="33" borderId="11" xfId="0" applyFont="1" applyFill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/>
      <protection hidden="1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right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top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57" fillId="0" borderId="21" xfId="0" applyFont="1" applyBorder="1" applyAlignment="1" applyProtection="1">
      <alignment horizontal="right"/>
      <protection hidden="1"/>
    </xf>
    <xf numFmtId="0" fontId="59" fillId="33" borderId="0" xfId="0" applyFont="1" applyFill="1" applyBorder="1" applyAlignment="1" applyProtection="1">
      <alignment horizontal="right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50" fillId="0" borderId="0" xfId="0" applyFont="1" applyBorder="1" applyAlignment="1">
      <alignment horizontal="left"/>
    </xf>
    <xf numFmtId="0" fontId="5" fillId="0" borderId="17" xfId="0" applyFont="1" applyBorder="1" applyAlignment="1" applyProtection="1">
      <alignment vertical="center"/>
      <protection hidden="1"/>
    </xf>
    <xf numFmtId="49" fontId="24" fillId="0" borderId="17" xfId="0" applyNumberFormat="1" applyFont="1" applyBorder="1" applyAlignment="1" applyProtection="1">
      <alignment horizontal="right" vertical="center"/>
      <protection hidden="1"/>
    </xf>
    <xf numFmtId="0" fontId="24" fillId="0" borderId="17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2" fontId="8" fillId="0" borderId="69" xfId="0" applyNumberFormat="1" applyFont="1" applyBorder="1" applyAlignment="1" applyProtection="1">
      <alignment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80" xfId="0" applyFont="1" applyBorder="1" applyAlignment="1" applyProtection="1">
      <alignment vertical="center"/>
      <protection hidden="1"/>
    </xf>
    <xf numFmtId="0" fontId="13" fillId="33" borderId="81" xfId="0" applyFont="1" applyFill="1" applyBorder="1" applyAlignment="1" applyProtection="1">
      <alignment horizontal="right"/>
      <protection hidden="1"/>
    </xf>
    <xf numFmtId="0" fontId="10" fillId="34" borderId="78" xfId="0" applyFont="1" applyFill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 vertical="center"/>
      <protection hidden="1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49" fontId="24" fillId="0" borderId="50" xfId="0" applyNumberFormat="1" applyFont="1" applyBorder="1" applyAlignment="1" applyProtection="1">
      <alignment horizontal="right" vertical="center"/>
      <protection hidden="1"/>
    </xf>
    <xf numFmtId="0" fontId="11" fillId="0" borderId="83" xfId="0" applyFont="1" applyBorder="1" applyAlignment="1" applyProtection="1">
      <alignment vertical="center"/>
      <protection hidden="1"/>
    </xf>
    <xf numFmtId="0" fontId="22" fillId="33" borderId="83" xfId="0" applyFont="1" applyFill="1" applyBorder="1" applyAlignment="1" applyProtection="1">
      <alignment horizontal="right" vertical="center"/>
      <protection hidden="1"/>
    </xf>
    <xf numFmtId="0" fontId="21" fillId="33" borderId="83" xfId="0" applyFont="1" applyFill="1" applyBorder="1" applyAlignment="1" applyProtection="1">
      <alignment horizontal="right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8" fillId="0" borderId="71" xfId="0" applyFont="1" applyBorder="1" applyAlignment="1" applyProtection="1">
      <alignment horizontal="center" vertical="center"/>
      <protection hidden="1"/>
    </xf>
    <xf numFmtId="0" fontId="24" fillId="33" borderId="84" xfId="0" applyFont="1" applyFill="1" applyBorder="1" applyAlignment="1" applyProtection="1">
      <alignment horizontal="left" vertical="center"/>
      <protection hidden="1"/>
    </xf>
    <xf numFmtId="0" fontId="24" fillId="0" borderId="70" xfId="0" applyFont="1" applyBorder="1" applyAlignment="1" applyProtection="1">
      <alignment horizontal="center"/>
      <protection hidden="1"/>
    </xf>
    <xf numFmtId="0" fontId="46" fillId="0" borderId="16" xfId="0" applyFont="1" applyBorder="1" applyAlignment="1" applyProtection="1">
      <alignment horizontal="left"/>
      <protection hidden="1"/>
    </xf>
    <xf numFmtId="0" fontId="8" fillId="33" borderId="75" xfId="0" applyFont="1" applyFill="1" applyBorder="1" applyAlignment="1">
      <alignment/>
    </xf>
    <xf numFmtId="0" fontId="8" fillId="0" borderId="50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49" fontId="8" fillId="33" borderId="87" xfId="0" applyNumberFormat="1" applyFont="1" applyFill="1" applyBorder="1" applyAlignment="1">
      <alignment horizontal="left"/>
    </xf>
    <xf numFmtId="49" fontId="8" fillId="33" borderId="88" xfId="0" applyNumberFormat="1" applyFont="1" applyFill="1" applyBorder="1" applyAlignment="1">
      <alignment horizontal="left"/>
    </xf>
    <xf numFmtId="0" fontId="8" fillId="0" borderId="89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55" xfId="0" applyFont="1" applyBorder="1" applyAlignment="1">
      <alignment/>
    </xf>
    <xf numFmtId="0" fontId="8" fillId="0" borderId="53" xfId="0" applyFont="1" applyBorder="1" applyAlignment="1">
      <alignment/>
    </xf>
    <xf numFmtId="0" fontId="61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 vertical="top"/>
      <protection hidden="1"/>
    </xf>
    <xf numFmtId="0" fontId="35" fillId="0" borderId="0" xfId="0" applyFont="1" applyBorder="1" applyAlignment="1" applyProtection="1">
      <alignment horizontal="left" wrapText="1"/>
      <protection hidden="1"/>
    </xf>
    <xf numFmtId="0" fontId="4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3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right" vertical="top"/>
      <protection hidden="1"/>
    </xf>
    <xf numFmtId="0" fontId="8" fillId="0" borderId="53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8" fillId="0" borderId="50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52" fillId="0" borderId="21" xfId="0" applyFont="1" applyBorder="1" applyAlignment="1" applyProtection="1">
      <alignment/>
      <protection hidden="1"/>
    </xf>
    <xf numFmtId="0" fontId="5" fillId="0" borderId="75" xfId="0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8" fillId="0" borderId="55" xfId="0" applyFont="1" applyBorder="1" applyAlignment="1" applyProtection="1">
      <alignment horizontal="left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10" fillId="0" borderId="11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1" fillId="0" borderId="31" xfId="0" applyFont="1" applyBorder="1" applyAlignment="1">
      <alignment horizontal="center" vertical="center"/>
    </xf>
    <xf numFmtId="0" fontId="8" fillId="0" borderId="9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62" fillId="0" borderId="0" xfId="0" applyFont="1" applyFill="1" applyAlignment="1" applyProtection="1">
      <alignment horizontal="left"/>
      <protection hidden="1"/>
    </xf>
    <xf numFmtId="0" fontId="51" fillId="0" borderId="17" xfId="0" applyFont="1" applyBorder="1" applyAlignment="1" applyProtection="1">
      <alignment horizontal="right" vertic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9" fillId="0" borderId="54" xfId="0" applyFont="1" applyBorder="1" applyAlignment="1" applyProtection="1">
      <alignment horizontal="right"/>
      <protection hidden="1"/>
    </xf>
    <xf numFmtId="0" fontId="59" fillId="0" borderId="14" xfId="0" applyFont="1" applyBorder="1" applyAlignment="1" applyProtection="1">
      <alignment horizontal="right"/>
      <protection hidden="1"/>
    </xf>
    <xf numFmtId="0" fontId="59" fillId="33" borderId="14" xfId="0" applyFont="1" applyFill="1" applyBorder="1" applyAlignment="1" applyProtection="1">
      <alignment horizontal="right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8" fillId="33" borderId="92" xfId="0" applyFont="1" applyFill="1" applyBorder="1" applyAlignment="1" applyProtection="1">
      <alignment horizontal="right" vertical="center"/>
      <protection hidden="1"/>
    </xf>
    <xf numFmtId="0" fontId="8" fillId="34" borderId="4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4" borderId="93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vertical="center"/>
      <protection hidden="1"/>
    </xf>
    <xf numFmtId="0" fontId="4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0" fillId="0" borderId="94" xfId="0" applyFont="1" applyFill="1" applyBorder="1" applyAlignment="1" applyProtection="1">
      <alignment horizontal="left" vertical="center"/>
      <protection locked="0"/>
    </xf>
    <xf numFmtId="0" fontId="8" fillId="33" borderId="95" xfId="0" applyFont="1" applyFill="1" applyBorder="1" applyAlignment="1" applyProtection="1">
      <alignment horizontal="right" vertical="center"/>
      <protection hidden="1"/>
    </xf>
    <xf numFmtId="0" fontId="8" fillId="0" borderId="9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10" fillId="0" borderId="96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6" fillId="33" borderId="97" xfId="0" applyFont="1" applyFill="1" applyBorder="1" applyAlignment="1" applyProtection="1">
      <alignment horizontal="right" vertical="center"/>
      <protection hidden="1"/>
    </xf>
    <xf numFmtId="0" fontId="5" fillId="0" borderId="98" xfId="0" applyFont="1" applyBorder="1" applyAlignment="1" applyProtection="1">
      <alignment/>
      <protection hidden="1"/>
    </xf>
    <xf numFmtId="0" fontId="4" fillId="33" borderId="97" xfId="0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66" fillId="0" borderId="14" xfId="0" applyFont="1" applyBorder="1" applyAlignment="1" applyProtection="1">
      <alignment/>
      <protection hidden="1"/>
    </xf>
    <xf numFmtId="0" fontId="64" fillId="0" borderId="0" xfId="0" applyFont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left"/>
      <protection hidden="1"/>
    </xf>
    <xf numFmtId="0" fontId="8" fillId="0" borderId="99" xfId="0" applyFont="1" applyBorder="1" applyAlignment="1" applyProtection="1">
      <alignment horizontal="right" vertical="center"/>
      <protection hidden="1"/>
    </xf>
    <xf numFmtId="0" fontId="65" fillId="0" borderId="0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52" fillId="0" borderId="56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01" xfId="0" applyBorder="1" applyAlignment="1">
      <alignment/>
    </xf>
    <xf numFmtId="0" fontId="10" fillId="0" borderId="102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3" fillId="0" borderId="53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5" fillId="0" borderId="53" xfId="0" applyFont="1" applyBorder="1" applyAlignment="1">
      <alignment/>
    </xf>
    <xf numFmtId="0" fontId="0" fillId="0" borderId="11" xfId="0" applyBorder="1" applyAlignment="1">
      <alignment vertical="center"/>
    </xf>
    <xf numFmtId="0" fontId="5" fillId="0" borderId="39" xfId="0" applyFont="1" applyBorder="1" applyAlignment="1">
      <alignment/>
    </xf>
    <xf numFmtId="0" fontId="10" fillId="0" borderId="53" xfId="0" applyFont="1" applyBorder="1" applyAlignment="1">
      <alignment/>
    </xf>
    <xf numFmtId="0" fontId="8" fillId="33" borderId="32" xfId="0" applyFont="1" applyFill="1" applyBorder="1" applyAlignment="1">
      <alignment/>
    </xf>
    <xf numFmtId="0" fontId="8" fillId="0" borderId="62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58" xfId="0" applyFont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10" fillId="0" borderId="0" xfId="0" applyFont="1" applyAlignment="1">
      <alignment/>
    </xf>
    <xf numFmtId="0" fontId="22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8" fillId="0" borderId="29" xfId="0" applyFont="1" applyBorder="1" applyAlignment="1">
      <alignment horizontal="centerContinuous" vertical="center"/>
    </xf>
    <xf numFmtId="0" fontId="8" fillId="0" borderId="83" xfId="0" applyFont="1" applyFill="1" applyBorder="1" applyAlignment="1">
      <alignment horizontal="centerContinuous" vertical="center"/>
    </xf>
    <xf numFmtId="0" fontId="8" fillId="0" borderId="104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31" xfId="0" applyFont="1" applyFill="1" applyBorder="1" applyAlignment="1">
      <alignment horizontal="center" vertical="top"/>
    </xf>
    <xf numFmtId="0" fontId="63" fillId="0" borderId="17" xfId="0" applyFont="1" applyBorder="1" applyAlignment="1" applyProtection="1">
      <alignment horizontal="center"/>
      <protection hidden="1"/>
    </xf>
    <xf numFmtId="0" fontId="46" fillId="0" borderId="105" xfId="0" applyFont="1" applyBorder="1" applyAlignment="1" applyProtection="1">
      <alignment/>
      <protection locked="0"/>
    </xf>
    <xf numFmtId="0" fontId="46" fillId="0" borderId="77" xfId="0" applyFont="1" applyBorder="1" applyAlignment="1" applyProtection="1">
      <alignment/>
      <protection locked="0"/>
    </xf>
    <xf numFmtId="0" fontId="21" fillId="0" borderId="105" xfId="0" applyFont="1" applyBorder="1" applyAlignment="1" applyProtection="1">
      <alignment horizontal="center"/>
      <protection locked="0"/>
    </xf>
    <xf numFmtId="0" fontId="21" fillId="0" borderId="105" xfId="0" applyFont="1" applyBorder="1" applyAlignment="1" applyProtection="1">
      <alignment horizontal="left"/>
      <protection locked="0"/>
    </xf>
    <xf numFmtId="0" fontId="21" fillId="0" borderId="77" xfId="0" applyFont="1" applyBorder="1" applyAlignment="1" applyProtection="1">
      <alignment horizontal="center"/>
      <protection locked="0"/>
    </xf>
    <xf numFmtId="0" fontId="21" fillId="0" borderId="77" xfId="0" applyFont="1" applyBorder="1" applyAlignment="1" applyProtection="1">
      <alignment horizontal="left"/>
      <protection locked="0"/>
    </xf>
    <xf numFmtId="0" fontId="39" fillId="0" borderId="101" xfId="0" applyFont="1" applyBorder="1" applyAlignment="1" applyProtection="1">
      <alignment horizontal="right" vertical="center"/>
      <protection hidden="1"/>
    </xf>
    <xf numFmtId="0" fontId="5" fillId="0" borderId="106" xfId="0" applyFont="1" applyBorder="1" applyAlignment="1" applyProtection="1">
      <alignment horizontal="center"/>
      <protection locked="0"/>
    </xf>
    <xf numFmtId="0" fontId="5" fillId="0" borderId="107" xfId="0" applyFont="1" applyBorder="1" applyAlignment="1" applyProtection="1">
      <alignment horizont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horizontal="right" vertic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45" fillId="33" borderId="108" xfId="0" applyFont="1" applyFill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0" borderId="5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18" fillId="0" borderId="54" xfId="0" applyFont="1" applyBorder="1" applyAlignment="1" applyProtection="1">
      <alignment horizontal="right"/>
      <protection hidden="1"/>
    </xf>
    <xf numFmtId="0" fontId="8" fillId="0" borderId="80" xfId="0" applyFont="1" applyBorder="1" applyAlignment="1" applyProtection="1">
      <alignment/>
      <protection hidden="1"/>
    </xf>
    <xf numFmtId="0" fontId="10" fillId="35" borderId="78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hidden="1"/>
    </xf>
    <xf numFmtId="0" fontId="4" fillId="33" borderId="97" xfId="0" applyFont="1" applyFill="1" applyBorder="1" applyAlignment="1" applyProtection="1">
      <alignment horizontal="right" vertical="center"/>
      <protection hidden="1"/>
    </xf>
    <xf numFmtId="0" fontId="8" fillId="0" borderId="54" xfId="0" applyFont="1" applyBorder="1" applyAlignment="1" applyProtection="1">
      <alignment horizontal="right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17" fillId="0" borderId="49" xfId="0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09" xfId="0" applyFont="1" applyBorder="1" applyAlignment="1">
      <alignment horizontal="left"/>
    </xf>
    <xf numFmtId="0" fontId="7" fillId="0" borderId="20" xfId="0" applyFont="1" applyBorder="1" applyAlignment="1" applyProtection="1">
      <alignment horizontal="right"/>
      <protection hidden="1"/>
    </xf>
    <xf numFmtId="0" fontId="7" fillId="0" borderId="38" xfId="0" applyFont="1" applyBorder="1" applyAlignment="1" applyProtection="1">
      <alignment horizontal="right"/>
      <protection hidden="1"/>
    </xf>
    <xf numFmtId="0" fontId="8" fillId="0" borderId="29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53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54" xfId="0" applyFont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75" xfId="0" applyFont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3" fillId="0" borderId="38" xfId="0" applyFont="1" applyBorder="1" applyAlignment="1" applyProtection="1">
      <alignment/>
      <protection hidden="1"/>
    </xf>
    <xf numFmtId="0" fontId="40" fillId="0" borderId="11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7" fillId="0" borderId="109" xfId="0" applyFont="1" applyBorder="1" applyAlignment="1" applyProtection="1">
      <alignment horizontal="left"/>
      <protection hidden="1"/>
    </xf>
    <xf numFmtId="0" fontId="7" fillId="0" borderId="93" xfId="0" applyFont="1" applyBorder="1" applyAlignment="1" applyProtection="1">
      <alignment horizontal="left"/>
      <protection hidden="1"/>
    </xf>
    <xf numFmtId="0" fontId="7" fillId="0" borderId="17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72" fillId="0" borderId="0" xfId="0" applyFont="1" applyAlignment="1" applyProtection="1">
      <alignment/>
      <protection hidden="1"/>
    </xf>
    <xf numFmtId="0" fontId="51" fillId="0" borderId="15" xfId="0" applyFont="1" applyBorder="1" applyAlignment="1" applyProtection="1">
      <alignment/>
      <protection hidden="1"/>
    </xf>
    <xf numFmtId="0" fontId="51" fillId="0" borderId="11" xfId="0" applyFont="1" applyBorder="1" applyAlignment="1" applyProtection="1">
      <alignment/>
      <protection hidden="1"/>
    </xf>
    <xf numFmtId="0" fontId="59" fillId="0" borderId="54" xfId="0" applyFont="1" applyBorder="1" applyAlignment="1" applyProtection="1">
      <alignment horizontal="right" vertical="center"/>
      <protection hidden="1"/>
    </xf>
    <xf numFmtId="0" fontId="66" fillId="0" borderId="14" xfId="0" applyFont="1" applyBorder="1" applyAlignment="1" applyProtection="1">
      <alignment horizontal="right"/>
      <protection hidden="1"/>
    </xf>
    <xf numFmtId="0" fontId="59" fillId="0" borderId="17" xfId="0" applyFont="1" applyFill="1" applyBorder="1" applyAlignment="1" applyProtection="1">
      <alignment horizontal="right" vertical="center"/>
      <protection hidden="1"/>
    </xf>
    <xf numFmtId="0" fontId="59" fillId="33" borderId="0" xfId="0" applyFont="1" applyFill="1" applyBorder="1" applyAlignment="1" applyProtection="1">
      <alignment horizontal="right" vertical="center"/>
      <protection hidden="1"/>
    </xf>
    <xf numFmtId="0" fontId="13" fillId="33" borderId="72" xfId="0" applyFont="1" applyFill="1" applyBorder="1" applyAlignment="1" applyProtection="1">
      <alignment horizontal="center" vertical="center"/>
      <protection hidden="1"/>
    </xf>
    <xf numFmtId="0" fontId="66" fillId="0" borderId="41" xfId="0" applyFont="1" applyBorder="1" applyAlignment="1" applyProtection="1">
      <alignment horizontal="right"/>
      <protection hidden="1"/>
    </xf>
    <xf numFmtId="0" fontId="45" fillId="33" borderId="1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69" xfId="0" applyFont="1" applyBorder="1" applyAlignment="1" applyProtection="1">
      <alignment vertical="center"/>
      <protection hidden="1"/>
    </xf>
    <xf numFmtId="0" fontId="7" fillId="33" borderId="92" xfId="0" applyFont="1" applyFill="1" applyBorder="1" applyAlignment="1" applyProtection="1">
      <alignment horizontal="right" vertical="center"/>
      <protection hidden="1"/>
    </xf>
    <xf numFmtId="0" fontId="46" fillId="33" borderId="16" xfId="0" applyFont="1" applyFill="1" applyBorder="1" applyAlignment="1" applyProtection="1">
      <alignment horizontal="left"/>
      <protection hidden="1"/>
    </xf>
    <xf numFmtId="0" fontId="62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/>
      <protection hidden="1"/>
    </xf>
    <xf numFmtId="0" fontId="56" fillId="0" borderId="16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46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left" vertical="top"/>
      <protection/>
    </xf>
    <xf numFmtId="0" fontId="55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18" fillId="0" borderId="49" xfId="0" applyFont="1" applyBorder="1" applyAlignment="1" applyProtection="1">
      <alignment horizontal="right" vertical="center"/>
      <protection hidden="1"/>
    </xf>
    <xf numFmtId="0" fontId="8" fillId="0" borderId="50" xfId="0" applyFont="1" applyBorder="1" applyAlignment="1" applyProtection="1">
      <alignment horizontal="left" vertical="center"/>
      <protection hidden="1"/>
    </xf>
    <xf numFmtId="0" fontId="73" fillId="0" borderId="11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horizontal="left"/>
      <protection hidden="1"/>
    </xf>
    <xf numFmtId="0" fontId="110" fillId="0" borderId="0" xfId="0" applyFont="1" applyAlignment="1" applyProtection="1">
      <alignment horizontal="left" vertical="top"/>
      <protection hidden="1"/>
    </xf>
    <xf numFmtId="0" fontId="23" fillId="0" borderId="15" xfId="0" applyFont="1" applyBorder="1" applyAlignment="1" applyProtection="1">
      <alignment horizontal="left"/>
      <protection hidden="1"/>
    </xf>
    <xf numFmtId="0" fontId="24" fillId="33" borderId="112" xfId="0" applyFont="1" applyFill="1" applyBorder="1" applyAlignment="1" applyProtection="1">
      <alignment horizontal="right" vertical="center"/>
      <protection locked="0"/>
    </xf>
    <xf numFmtId="0" fontId="111" fillId="0" borderId="0" xfId="0" applyFont="1" applyAlignment="1" applyProtection="1">
      <alignment vertical="top"/>
      <protection hidden="1"/>
    </xf>
    <xf numFmtId="0" fontId="11" fillId="0" borderId="82" xfId="0" applyFont="1" applyFill="1" applyBorder="1" applyAlignment="1" applyProtection="1">
      <alignment horizontal="center" vertical="center"/>
      <protection locked="0"/>
    </xf>
    <xf numFmtId="0" fontId="10" fillId="35" borderId="113" xfId="0" applyFont="1" applyFill="1" applyBorder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39" fillId="33" borderId="16" xfId="0" applyFont="1" applyFill="1" applyBorder="1" applyAlignment="1" applyProtection="1">
      <alignment horizontal="center" textRotation="90"/>
      <protection hidden="1"/>
    </xf>
    <xf numFmtId="0" fontId="7" fillId="0" borderId="109" xfId="0" applyFont="1" applyBorder="1" applyAlignment="1" applyProtection="1">
      <alignment horizontal="left"/>
      <protection hidden="1"/>
    </xf>
    <xf numFmtId="0" fontId="7" fillId="0" borderId="56" xfId="0" applyFont="1" applyBorder="1" applyAlignment="1" applyProtection="1">
      <alignment horizontal="left"/>
      <protection hidden="1"/>
    </xf>
    <xf numFmtId="0" fontId="7" fillId="0" borderId="108" xfId="0" applyFont="1" applyBorder="1" applyAlignment="1" applyProtection="1">
      <alignment horizontal="left"/>
      <protection hidden="1"/>
    </xf>
    <xf numFmtId="0" fontId="112" fillId="0" borderId="16" xfId="0" applyFont="1" applyFill="1" applyBorder="1" applyAlignment="1" applyProtection="1">
      <alignment vertical="center" textRotation="90"/>
      <protection hidden="1"/>
    </xf>
    <xf numFmtId="0" fontId="10" fillId="0" borderId="114" xfId="0" applyFont="1" applyBorder="1" applyAlignment="1">
      <alignment horizontal="center" vertical="center" textRotation="90"/>
    </xf>
    <xf numFmtId="0" fontId="10" fillId="0" borderId="115" xfId="0" applyFont="1" applyBorder="1" applyAlignment="1">
      <alignment horizontal="center" vertical="center" textRotation="90"/>
    </xf>
    <xf numFmtId="0" fontId="10" fillId="0" borderId="116" xfId="0" applyFont="1" applyBorder="1" applyAlignment="1">
      <alignment horizontal="center" vertical="center" textRotation="90"/>
    </xf>
    <xf numFmtId="0" fontId="10" fillId="0" borderId="10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  <xf numFmtId="0" fontId="8" fillId="33" borderId="89" xfId="0" applyFont="1" applyFill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10" fillId="33" borderId="114" xfId="0" applyFont="1" applyFill="1" applyBorder="1" applyAlignment="1">
      <alignment horizontal="center" vertical="center" textRotation="90"/>
    </xf>
    <xf numFmtId="0" fontId="10" fillId="33" borderId="115" xfId="0" applyFont="1" applyFill="1" applyBorder="1" applyAlignment="1">
      <alignment horizontal="center" vertical="center" textRotation="90"/>
    </xf>
    <xf numFmtId="0" fontId="10" fillId="33" borderId="119" xfId="0" applyFont="1" applyFill="1" applyBorder="1" applyAlignment="1">
      <alignment horizontal="center" vertical="center" textRotation="90"/>
    </xf>
    <xf numFmtId="0" fontId="10" fillId="0" borderId="120" xfId="0" applyFont="1" applyBorder="1" applyAlignment="1">
      <alignment horizontal="center" vertical="center" textRotation="90"/>
    </xf>
    <xf numFmtId="0" fontId="10" fillId="0" borderId="121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49" fontId="10" fillId="33" borderId="114" xfId="0" applyNumberFormat="1" applyFont="1" applyFill="1" applyBorder="1" applyAlignment="1">
      <alignment horizontal="center" vertical="center" textRotation="90"/>
    </xf>
    <xf numFmtId="49" fontId="10" fillId="33" borderId="115" xfId="0" applyNumberFormat="1" applyFont="1" applyFill="1" applyBorder="1" applyAlignment="1">
      <alignment horizontal="center" vertical="center" textRotation="90"/>
    </xf>
    <xf numFmtId="49" fontId="10" fillId="33" borderId="119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95"/>
          <c:w val="0.9615"/>
          <c:h val="0.98125"/>
        </c:manualLayout>
      </c:layout>
      <c:barChart>
        <c:barDir val="col"/>
        <c:grouping val="clustered"/>
        <c:varyColors val="0"/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4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38100</xdr:rowOff>
    </xdr:from>
    <xdr:to>
      <xdr:col>0</xdr:col>
      <xdr:colOff>247650</xdr:colOff>
      <xdr:row>22</xdr:row>
      <xdr:rowOff>76200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575" y="35623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-0.00025</cdr:y>
    </cdr:from>
    <cdr:to>
      <cdr:x>0.948</cdr:x>
      <cdr:y>0.99975</cdr:y>
    </cdr:to>
    <cdr:pic>
      <cdr:nvPicPr>
        <cdr:cNvPr id="1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76925" cy="9867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0</xdr:rowOff>
    </xdr:from>
    <xdr:to>
      <xdr:col>10</xdr:col>
      <xdr:colOff>428625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323850" y="161925"/>
        <a:ext cx="6200775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13.7109375" style="300" customWidth="1"/>
    <col min="2" max="2" width="4.00390625" style="300" customWidth="1"/>
    <col min="3" max="3" width="2.57421875" style="300" customWidth="1"/>
    <col min="4" max="4" width="17.28125" style="300" customWidth="1"/>
    <col min="5" max="5" width="22.7109375" style="300" customWidth="1"/>
    <col min="6" max="6" width="8.421875" style="367" customWidth="1"/>
    <col min="7" max="7" width="20.7109375" style="367" customWidth="1"/>
    <col min="8" max="8" width="4.57421875" style="300" customWidth="1"/>
    <col min="9" max="9" width="6.8515625" style="337" customWidth="1"/>
    <col min="10" max="10" width="6.57421875" style="342" customWidth="1"/>
    <col min="11" max="11" width="6.421875" style="300" customWidth="1"/>
    <col min="12" max="12" width="6.7109375" style="300" customWidth="1"/>
    <col min="13" max="13" width="5.8515625" style="300" customWidth="1"/>
    <col min="14" max="14" width="6.140625" style="300" customWidth="1"/>
    <col min="15" max="15" width="2.57421875" style="300" customWidth="1"/>
    <col min="16" max="16" width="4.57421875" style="300" customWidth="1"/>
    <col min="17" max="17" width="12.28125" style="300" customWidth="1"/>
    <col min="18" max="19" width="6.8515625" style="300" customWidth="1"/>
    <col min="20" max="20" width="8.7109375" style="300" customWidth="1"/>
    <col min="21" max="21" width="5.421875" style="300" customWidth="1"/>
    <col min="22" max="16384" width="9.140625" style="300" customWidth="1"/>
  </cols>
  <sheetData>
    <row r="1" spans="1:20" ht="20.25" customHeight="1">
      <c r="A1" s="647" t="s">
        <v>312</v>
      </c>
      <c r="B1" s="646"/>
      <c r="C1" s="646"/>
      <c r="D1" s="646"/>
      <c r="E1" s="347"/>
      <c r="F1" s="646"/>
      <c r="G1" s="646"/>
      <c r="H1" s="298" t="s">
        <v>446</v>
      </c>
      <c r="J1" s="299"/>
      <c r="K1" s="299"/>
      <c r="L1" s="299"/>
      <c r="M1" s="299"/>
      <c r="N1" s="299"/>
      <c r="P1" s="299"/>
      <c r="T1" s="658" t="s">
        <v>445</v>
      </c>
    </row>
    <row r="2" spans="2:16" ht="21.75" customHeight="1" thickBot="1">
      <c r="B2" s="646"/>
      <c r="C2" s="646"/>
      <c r="E2" s="648" t="s">
        <v>434</v>
      </c>
      <c r="F2" s="646"/>
      <c r="G2" s="646"/>
      <c r="H2" s="298"/>
      <c r="J2" s="299"/>
      <c r="K2" s="299"/>
      <c r="L2" s="299"/>
      <c r="M2" s="299"/>
      <c r="N2" s="299"/>
      <c r="P2" s="299"/>
    </row>
    <row r="3" spans="1:16" ht="18" customHeight="1" thickTop="1">
      <c r="A3" s="507"/>
      <c r="B3" s="508"/>
      <c r="C3" s="508"/>
      <c r="D3" s="589" t="s">
        <v>397</v>
      </c>
      <c r="E3" s="506" t="s">
        <v>306</v>
      </c>
      <c r="F3" s="574"/>
      <c r="G3" s="575"/>
      <c r="H3" s="301"/>
      <c r="I3" s="357" t="s">
        <v>351</v>
      </c>
      <c r="J3" s="302"/>
      <c r="K3" s="302"/>
      <c r="L3" s="302"/>
      <c r="M3" s="302"/>
      <c r="N3" s="302"/>
      <c r="P3" s="302"/>
    </row>
    <row r="4" spans="1:17" ht="12" customHeight="1">
      <c r="A4" s="637" t="s">
        <v>422</v>
      </c>
      <c r="B4" s="492"/>
      <c r="C4" s="493" t="s">
        <v>2</v>
      </c>
      <c r="D4" s="577"/>
      <c r="E4" s="573" t="str">
        <f>IF(OR(G8="",G14="",B4="",B5=""),"fill values in all yellow cells and one grey cell",IF(AND(G22="",G23=""),"fill values in all yellow cells and one grey cell",""))</f>
        <v>fill values in all yellow cells and one grey cell</v>
      </c>
      <c r="F4" s="505" t="s">
        <v>308</v>
      </c>
      <c r="G4" s="504"/>
      <c r="H4" s="301"/>
      <c r="I4" s="357" t="s">
        <v>406</v>
      </c>
      <c r="J4" s="304"/>
      <c r="K4" s="304"/>
      <c r="L4" s="304"/>
      <c r="M4" s="304"/>
      <c r="N4" s="304"/>
      <c r="O4" s="305"/>
      <c r="P4" s="304"/>
      <c r="Q4" s="305"/>
    </row>
    <row r="5" spans="1:17" ht="12.75" customHeight="1">
      <c r="A5" s="491" t="s">
        <v>423</v>
      </c>
      <c r="B5" s="494"/>
      <c r="C5" s="495" t="s">
        <v>2</v>
      </c>
      <c r="D5" s="496" t="s">
        <v>437</v>
      </c>
      <c r="E5" s="497"/>
      <c r="F5" s="498" t="s">
        <v>307</v>
      </c>
      <c r="G5" s="499"/>
      <c r="H5" s="308"/>
      <c r="I5" s="450" t="s">
        <v>394</v>
      </c>
      <c r="J5" s="304"/>
      <c r="K5" s="304"/>
      <c r="L5" s="304"/>
      <c r="M5" s="304"/>
      <c r="N5" s="304"/>
      <c r="O5" s="305"/>
      <c r="P5" s="304"/>
      <c r="Q5" s="305"/>
    </row>
    <row r="6" spans="1:17" ht="12" customHeight="1">
      <c r="A6" s="513" t="s">
        <v>388</v>
      </c>
      <c r="B6" s="576"/>
      <c r="C6" s="514" t="s">
        <v>353</v>
      </c>
      <c r="D6" s="496" t="str">
        <f>IF(B6="","(horizontal roof is used, when not filled)","")</f>
        <v>(horizontal roof is used, when not filled)</v>
      </c>
      <c r="E6" s="347"/>
      <c r="F6" s="498" t="s">
        <v>309</v>
      </c>
      <c r="G6" s="499"/>
      <c r="H6" s="309"/>
      <c r="I6" s="406" t="s">
        <v>395</v>
      </c>
      <c r="J6" s="304"/>
      <c r="K6" s="304"/>
      <c r="L6" s="304"/>
      <c r="M6" s="304"/>
      <c r="N6" s="304"/>
      <c r="O6" s="305"/>
      <c r="P6" s="304"/>
      <c r="Q6" s="305"/>
    </row>
    <row r="7" spans="1:17" ht="12.75" customHeight="1">
      <c r="A7" s="500" t="s">
        <v>3</v>
      </c>
      <c r="B7" s="501"/>
      <c r="C7" s="400" t="s">
        <v>303</v>
      </c>
      <c r="D7" s="400"/>
      <c r="E7" s="502"/>
      <c r="F7" s="503"/>
      <c r="G7" s="652" t="e">
        <f>IF(AND(B7="",B4&lt;&gt;"",G29="continuous"),"(horse-shoe tunnel shape is used in the calculations)",IF(AND(B7="",B5&lt;&gt;"",G36="continuous"),"horse-shoe tunnel shape is used in the calculations",""))</f>
        <v>#VALUE!</v>
      </c>
      <c r="H7" s="309"/>
      <c r="I7" s="406" t="s">
        <v>396</v>
      </c>
      <c r="J7" s="304"/>
      <c r="K7" s="304"/>
      <c r="L7" s="304"/>
      <c r="M7" s="304"/>
      <c r="N7" s="304"/>
      <c r="O7" s="305"/>
      <c r="P7" s="304"/>
      <c r="Q7" s="305"/>
    </row>
    <row r="8" spans="1:17" ht="12" customHeight="1">
      <c r="A8" s="636" t="s">
        <v>420</v>
      </c>
      <c r="B8" s="312"/>
      <c r="C8" s="312"/>
      <c r="D8" s="312"/>
      <c r="E8" s="312"/>
      <c r="F8" s="340" t="s">
        <v>261</v>
      </c>
      <c r="G8" s="421"/>
      <c r="H8" s="313" t="s">
        <v>384</v>
      </c>
      <c r="I8" s="404"/>
      <c r="J8" s="304"/>
      <c r="K8" s="304"/>
      <c r="L8" s="304"/>
      <c r="M8" s="304"/>
      <c r="N8" s="304"/>
      <c r="O8" s="305"/>
      <c r="P8" s="304"/>
      <c r="Q8" s="305"/>
    </row>
    <row r="9" spans="1:16" ht="12" customHeight="1">
      <c r="A9" s="417" t="s">
        <v>426</v>
      </c>
      <c r="B9" s="314"/>
      <c r="C9" s="314"/>
      <c r="D9" s="413"/>
      <c r="E9" s="413"/>
      <c r="F9" s="414" t="s">
        <v>296</v>
      </c>
      <c r="G9" s="402"/>
      <c r="H9" s="394" t="e">
        <f>IF(I9="","","&lt;---")</f>
        <v>#VALUE!</v>
      </c>
      <c r="I9" s="395" t="e">
        <f>IF(AND(G9="",G29="continuous",T59&lt;1),"Rock deformability should be given, as overstressing may occur",IF(AND(G9="",G36="continuous",T60&lt;1),"Rock deformability should be given, as overstressing may occur",""))</f>
        <v>#VALUE!</v>
      </c>
      <c r="J9" s="315"/>
      <c r="K9" s="315"/>
      <c r="L9" s="315"/>
      <c r="M9" s="315"/>
      <c r="N9" s="315"/>
      <c r="P9" s="315"/>
    </row>
    <row r="10" spans="1:19" ht="12" customHeight="1">
      <c r="A10" s="338" t="s">
        <v>248</v>
      </c>
      <c r="B10" s="312"/>
      <c r="C10" s="312"/>
      <c r="D10" s="339"/>
      <c r="E10" s="339"/>
      <c r="F10" s="415" t="s">
        <v>319</v>
      </c>
      <c r="G10" s="402"/>
      <c r="H10" s="316" t="s">
        <v>254</v>
      </c>
      <c r="I10" s="317"/>
      <c r="J10" s="318"/>
      <c r="K10" s="319"/>
      <c r="L10" s="320"/>
      <c r="M10" s="320"/>
      <c r="N10" s="320"/>
      <c r="O10" s="305"/>
      <c r="P10" s="320"/>
      <c r="S10" s="367"/>
    </row>
    <row r="11" spans="1:20" ht="12" customHeight="1">
      <c r="A11" s="338" t="s">
        <v>427</v>
      </c>
      <c r="B11" s="312"/>
      <c r="C11" s="312"/>
      <c r="D11" s="339"/>
      <c r="E11" s="339"/>
      <c r="F11" s="415" t="s">
        <v>302</v>
      </c>
      <c r="G11" s="402"/>
      <c r="H11" s="316" t="s">
        <v>255</v>
      </c>
      <c r="I11" s="317"/>
      <c r="J11" s="318"/>
      <c r="K11" s="319"/>
      <c r="L11" s="320"/>
      <c r="M11" s="320"/>
      <c r="N11" s="320"/>
      <c r="O11" s="305"/>
      <c r="P11" s="320"/>
      <c r="S11" s="482"/>
      <c r="T11" s="482"/>
    </row>
    <row r="12" spans="1:19" ht="12" customHeight="1">
      <c r="A12" s="338" t="s">
        <v>428</v>
      </c>
      <c r="B12" s="312"/>
      <c r="C12" s="312"/>
      <c r="D12" s="339"/>
      <c r="E12" s="339"/>
      <c r="F12" s="415" t="s">
        <v>301</v>
      </c>
      <c r="G12" s="422"/>
      <c r="H12" s="316" t="s">
        <v>256</v>
      </c>
      <c r="I12" s="321"/>
      <c r="J12" s="319"/>
      <c r="K12" s="319"/>
      <c r="L12" s="322"/>
      <c r="M12" s="322"/>
      <c r="N12" s="322"/>
      <c r="O12" s="305"/>
      <c r="P12" s="322"/>
      <c r="Q12" s="482"/>
      <c r="S12" s="482"/>
    </row>
    <row r="13" spans="1:16" ht="12" customHeight="1">
      <c r="A13" s="338" t="s">
        <v>11</v>
      </c>
      <c r="B13" s="312"/>
      <c r="C13" s="312"/>
      <c r="D13" s="339"/>
      <c r="E13" s="339"/>
      <c r="F13" s="415" t="s">
        <v>300</v>
      </c>
      <c r="G13" s="402"/>
      <c r="H13" s="316" t="s">
        <v>409</v>
      </c>
      <c r="I13" s="324"/>
      <c r="J13" s="323"/>
      <c r="K13" s="325"/>
      <c r="L13" s="326"/>
      <c r="M13" s="327"/>
      <c r="N13" s="326"/>
      <c r="O13" s="305"/>
      <c r="P13" s="328"/>
    </row>
    <row r="14" spans="1:17" ht="12" customHeight="1">
      <c r="A14" s="636" t="s">
        <v>421</v>
      </c>
      <c r="B14" s="312"/>
      <c r="C14" s="312"/>
      <c r="D14" s="339"/>
      <c r="E14" s="480" t="str">
        <f>IF(G14="","(Note the input in m3 )","")</f>
        <v>(Note the input in m3 )</v>
      </c>
      <c r="F14" s="416" t="s">
        <v>298</v>
      </c>
      <c r="G14" s="421"/>
      <c r="H14" s="329">
        <f>IF($I14="",""," Vb  =")</f>
      </c>
      <c r="I14" s="330">
        <f>IF(OR(G14="",G14=0),"",IF(G14&lt;1,G14*1000,""))</f>
      </c>
      <c r="J14" s="303">
        <f>IF($I14="","","dm³ ")</f>
      </c>
      <c r="K14" s="331"/>
      <c r="L14" s="332"/>
      <c r="M14" s="328"/>
      <c r="N14" s="333"/>
      <c r="O14" s="334"/>
      <c r="P14" s="328"/>
      <c r="Q14" s="482"/>
    </row>
    <row r="15" spans="1:16" ht="12" customHeight="1">
      <c r="A15" s="338" t="s">
        <v>352</v>
      </c>
      <c r="B15" s="312"/>
      <c r="C15" s="312"/>
      <c r="D15" s="339"/>
      <c r="E15" s="339"/>
      <c r="F15" s="415" t="s">
        <v>436</v>
      </c>
      <c r="G15" s="402"/>
      <c r="H15" s="316" t="s">
        <v>365</v>
      </c>
      <c r="I15" s="321"/>
      <c r="J15" s="319"/>
      <c r="K15" s="319"/>
      <c r="L15" s="319"/>
      <c r="M15" s="319"/>
      <c r="N15" s="319"/>
      <c r="O15" s="305"/>
      <c r="P15" s="319"/>
    </row>
    <row r="16" spans="1:16" ht="12" customHeight="1">
      <c r="A16" s="338" t="s">
        <v>346</v>
      </c>
      <c r="B16" s="312"/>
      <c r="C16" s="312"/>
      <c r="D16" s="312"/>
      <c r="E16" s="312"/>
      <c r="F16" s="340" t="s">
        <v>385</v>
      </c>
      <c r="G16" s="402"/>
      <c r="H16" s="316" t="s">
        <v>364</v>
      </c>
      <c r="I16" s="321"/>
      <c r="J16" s="336"/>
      <c r="K16" s="336"/>
      <c r="L16" s="336"/>
      <c r="M16" s="336"/>
      <c r="N16" s="336"/>
      <c r="O16" s="305"/>
      <c r="P16" s="336"/>
    </row>
    <row r="17" spans="1:16" ht="12" customHeight="1">
      <c r="A17" s="338" t="s">
        <v>347</v>
      </c>
      <c r="B17" s="312"/>
      <c r="C17" s="312"/>
      <c r="D17" s="312"/>
      <c r="E17" s="312"/>
      <c r="F17" s="340" t="s">
        <v>385</v>
      </c>
      <c r="G17" s="402"/>
      <c r="H17" s="405" t="e">
        <f>IF(G29="input is missing","",IF(OR(G16="",G16="x")," &lt;---- Rating Co = 1.5  is applied when no value is given",""))</f>
        <v>#VALUE!</v>
      </c>
      <c r="I17" s="321"/>
      <c r="J17" s="319"/>
      <c r="K17" s="319"/>
      <c r="L17" s="319"/>
      <c r="M17" s="319"/>
      <c r="N17" s="319"/>
      <c r="O17" s="305"/>
      <c r="P17" s="319"/>
    </row>
    <row r="18" spans="1:19" ht="12" customHeight="1">
      <c r="A18" s="418" t="s">
        <v>348</v>
      </c>
      <c r="B18" s="312"/>
      <c r="C18" s="312"/>
      <c r="D18" s="312"/>
      <c r="E18" s="566" t="s">
        <v>304</v>
      </c>
      <c r="F18" s="423" t="s">
        <v>21</v>
      </c>
      <c r="G18" s="659"/>
      <c r="H18" s="479">
        <f>IF(G18="","",IF(G18&gt;20," Zones with thickness &gt; 20m are calculated as ordinary ground"," Check that the values for Vb, jR, jA, etc. are representative for the weakness zone"))</f>
      </c>
      <c r="I18" s="449"/>
      <c r="J18" s="319"/>
      <c r="K18" s="319"/>
      <c r="L18" s="319"/>
      <c r="M18" s="319"/>
      <c r="N18" s="319"/>
      <c r="O18" s="305"/>
      <c r="P18" s="319"/>
      <c r="S18" s="347"/>
    </row>
    <row r="19" spans="1:19" ht="12" customHeight="1">
      <c r="A19" s="338" t="s">
        <v>431</v>
      </c>
      <c r="B19" s="312"/>
      <c r="C19" s="312"/>
      <c r="D19" s="312"/>
      <c r="E19" s="566" t="s">
        <v>386</v>
      </c>
      <c r="F19" s="340" t="s">
        <v>333</v>
      </c>
      <c r="G19" s="402"/>
      <c r="H19" s="511" t="str">
        <f>IF(OR(T49="no",T50="no")," Input of seam does not work for small weakness zones","&lt;---- Input of a seam here can be used when it is not already represented in  jA")</f>
        <v>&lt;---- Input of a seam here can be used when it is not already represented in  jA</v>
      </c>
      <c r="I19" s="321"/>
      <c r="J19" s="319"/>
      <c r="K19" s="319"/>
      <c r="L19" s="319"/>
      <c r="M19" s="319"/>
      <c r="N19" s="319"/>
      <c r="O19" s="305"/>
      <c r="P19" s="319"/>
      <c r="S19" s="372"/>
    </row>
    <row r="20" spans="1:19" ht="12" customHeight="1">
      <c r="A20" s="338" t="s">
        <v>432</v>
      </c>
      <c r="B20" s="312"/>
      <c r="C20" s="312"/>
      <c r="D20" s="312"/>
      <c r="E20" s="480">
        <f>IF(G19&gt;0.99,"Note that the input of Ts is in m","")</f>
      </c>
      <c r="F20" s="340" t="s">
        <v>324</v>
      </c>
      <c r="G20" s="402"/>
      <c r="J20" s="319"/>
      <c r="K20" s="319"/>
      <c r="L20" s="319"/>
      <c r="M20" s="319"/>
      <c r="N20" s="319"/>
      <c r="O20" s="305"/>
      <c r="P20" s="319"/>
      <c r="S20" s="635"/>
    </row>
    <row r="21" spans="1:16" ht="12" customHeight="1">
      <c r="A21" s="338" t="s">
        <v>433</v>
      </c>
      <c r="B21" s="312"/>
      <c r="C21" s="312"/>
      <c r="D21" s="312"/>
      <c r="E21" s="312"/>
      <c r="F21" s="340" t="s">
        <v>324</v>
      </c>
      <c r="G21" s="402"/>
      <c r="H21" s="316" t="s">
        <v>366</v>
      </c>
      <c r="I21" s="472"/>
      <c r="J21" s="319"/>
      <c r="K21" s="319"/>
      <c r="L21" s="319"/>
      <c r="M21" s="319"/>
      <c r="N21" s="319"/>
      <c r="O21" s="305"/>
      <c r="P21" s="319"/>
    </row>
    <row r="22" spans="1:19" ht="12" customHeight="1">
      <c r="A22" s="586" t="s">
        <v>390</v>
      </c>
      <c r="B22" s="583"/>
      <c r="C22" s="583"/>
      <c r="D22" s="583"/>
      <c r="E22" s="583"/>
      <c r="F22" s="585" t="s">
        <v>391</v>
      </c>
      <c r="G22" s="660"/>
      <c r="H22" s="588" t="str">
        <f>IF(AND(G22&gt;0,G23=""),"",IF(AND(G22="",G23&gt;0),"",IF(OR(U32="cont.",U33="cont.")," &lt;--- Value must be given only in ONE of the grey cells",IF(AND(G22&gt;0,G23&gt;0)," &lt;--- Value must be given only in ONE of the grey cells",""))))</f>
        <v> &lt;--- Value must be given only in ONE of the grey cells</v>
      </c>
      <c r="S22" s="456" t="s">
        <v>251</v>
      </c>
    </row>
    <row r="23" spans="1:21" ht="12" customHeight="1">
      <c r="A23" s="338" t="s">
        <v>389</v>
      </c>
      <c r="B23" s="339"/>
      <c r="C23" s="339"/>
      <c r="D23" s="339"/>
      <c r="E23" s="339"/>
      <c r="F23" s="340" t="s">
        <v>264</v>
      </c>
      <c r="G23" s="587"/>
      <c r="H23" s="409" t="e">
        <f>IF(G29="input is missing","",IF(OR(G29="continuous",G36="continuous"),"",IF(AND(G23="",G22="")," &lt;---  Moderate stress level is applied when no value is given","")))</f>
        <v>#VALUE!</v>
      </c>
      <c r="I23" s="341"/>
      <c r="J23" s="304"/>
      <c r="K23" s="304"/>
      <c r="L23" s="304"/>
      <c r="M23" s="304"/>
      <c r="N23" s="304"/>
      <c r="O23" s="305"/>
      <c r="P23" s="304"/>
      <c r="S23" s="383" t="s">
        <v>249</v>
      </c>
      <c r="T23" s="458">
        <f>IF(OR(G10="",G10="x"),1.75,G10)</f>
        <v>1.75</v>
      </c>
      <c r="U23" s="464"/>
    </row>
    <row r="24" spans="1:21" ht="12" customHeight="1">
      <c r="A24" s="338" t="s">
        <v>15</v>
      </c>
      <c r="B24" s="314"/>
      <c r="C24" s="314"/>
      <c r="D24" s="314"/>
      <c r="E24" s="314"/>
      <c r="F24" s="416" t="s">
        <v>263</v>
      </c>
      <c r="G24" s="402"/>
      <c r="H24" s="313" t="e">
        <f>IF(G29="input is missing","",IF(OR(G24="",G24="x")," &lt;----  Rating k = 1.5 is applied when no value is given",""))</f>
        <v>#VALUE!</v>
      </c>
      <c r="I24" s="342"/>
      <c r="J24" s="304"/>
      <c r="K24" s="304"/>
      <c r="L24" s="304"/>
      <c r="M24" s="304"/>
      <c r="N24" s="304"/>
      <c r="O24" s="305"/>
      <c r="P24" s="304"/>
      <c r="S24" s="358" t="s">
        <v>4</v>
      </c>
      <c r="T24" s="459">
        <f>IF(OR(G11="",G11="x"),1,G11)</f>
        <v>1</v>
      </c>
      <c r="U24" s="465"/>
    </row>
    <row r="25" spans="1:21" ht="12" customHeight="1">
      <c r="A25" s="419" t="s">
        <v>250</v>
      </c>
      <c r="B25" s="343"/>
      <c r="C25" s="343"/>
      <c r="D25" s="343"/>
      <c r="E25" s="343"/>
      <c r="F25" s="425" t="s">
        <v>311</v>
      </c>
      <c r="G25" s="424"/>
      <c r="H25" s="316" t="s">
        <v>363</v>
      </c>
      <c r="I25" s="411"/>
      <c r="J25" s="451"/>
      <c r="K25" s="451"/>
      <c r="L25" s="451"/>
      <c r="M25" s="451"/>
      <c r="N25" s="451"/>
      <c r="O25" s="452"/>
      <c r="P25" s="451"/>
      <c r="Q25" s="453"/>
      <c r="S25" s="358" t="s">
        <v>5</v>
      </c>
      <c r="T25" s="459">
        <f>IF(G12="x",1,IF(G12="",1,G12))</f>
        <v>1</v>
      </c>
      <c r="U25" s="465"/>
    </row>
    <row r="26" spans="1:21" ht="12" customHeight="1" thickBot="1">
      <c r="A26" s="434" t="s">
        <v>266</v>
      </c>
      <c r="B26" s="344"/>
      <c r="C26" s="345"/>
      <c r="D26" s="345"/>
      <c r="E26" s="346"/>
      <c r="F26" s="435" t="s">
        <v>313</v>
      </c>
      <c r="G26" s="657"/>
      <c r="H26" s="321"/>
      <c r="I26" s="335" t="s">
        <v>262</v>
      </c>
      <c r="J26" s="319"/>
      <c r="K26" s="319"/>
      <c r="L26" s="319"/>
      <c r="M26" s="319"/>
      <c r="N26" s="319"/>
      <c r="O26" s="305"/>
      <c r="P26" s="319"/>
      <c r="Q26" s="347"/>
      <c r="S26" s="358" t="s">
        <v>6</v>
      </c>
      <c r="T26" s="459">
        <f>T23*T25/T24</f>
        <v>1.75</v>
      </c>
      <c r="U26" s="465"/>
    </row>
    <row r="27" spans="1:21" ht="12" customHeight="1" thickTop="1">
      <c r="A27" s="420" t="s">
        <v>430</v>
      </c>
      <c r="B27" s="486" t="str">
        <f>T31</f>
        <v>input?</v>
      </c>
      <c r="C27" s="306"/>
      <c r="D27" s="306"/>
      <c r="E27" s="307"/>
      <c r="F27" s="306"/>
      <c r="G27" s="408">
        <f>IF(OR(B4="",B5=""),"",IF(OR(B4&lt;2,B5&lt;1.5),"tunnel dimension given is beyond the limit of RMi support method",IF(OR(B4&gt;25,B5&gt;35),"tunnel dimension given is above the limit of RMi support method","")))</f>
      </c>
      <c r="H27" s="348"/>
      <c r="I27" s="335" t="s">
        <v>257</v>
      </c>
      <c r="J27" s="319"/>
      <c r="K27" s="319"/>
      <c r="L27" s="319"/>
      <c r="M27" s="319"/>
      <c r="N27" s="319"/>
      <c r="O27" s="305"/>
      <c r="P27" s="319"/>
      <c r="S27" s="358" t="s">
        <v>7</v>
      </c>
      <c r="T27" s="459" t="str">
        <f>IF(G14="","Vb=?",0.2*SQRT(T26)*G14^(0.37*(T26)^-0.2))</f>
        <v>Vb=?</v>
      </c>
      <c r="U27" s="465"/>
    </row>
    <row r="28" spans="1:21" ht="15" customHeight="1" thickBot="1">
      <c r="A28" s="656" t="s">
        <v>357</v>
      </c>
      <c r="B28" s="398"/>
      <c r="C28" s="398"/>
      <c r="E28" s="661" t="s">
        <v>442</v>
      </c>
      <c r="F28" s="398"/>
      <c r="G28" s="509" t="e">
        <f>IF(AND(C51&gt;0,G45=""),"clear cell C50",IF(AND(C58&gt;0,G52=""),"clear cell C57",""))</f>
        <v>#VALUE!</v>
      </c>
      <c r="H28" s="309"/>
      <c r="I28" s="405" t="s">
        <v>323</v>
      </c>
      <c r="S28" s="650" t="s">
        <v>267</v>
      </c>
      <c r="T28" s="651">
        <f>IF(OR(G15="",G15="x"),36,G15)</f>
        <v>36</v>
      </c>
      <c r="U28" s="465"/>
    </row>
    <row r="29" spans="1:21" ht="12" customHeight="1">
      <c r="A29" s="349"/>
      <c r="B29" s="350"/>
      <c r="C29" s="426" t="s">
        <v>387</v>
      </c>
      <c r="D29" s="426"/>
      <c r="E29" s="427"/>
      <c r="F29" s="428" t="s">
        <v>16</v>
      </c>
      <c r="G29" s="410" t="e">
        <f>IF(AND(G45="particulate with ",C51&gt;0),"initial support in partic. ground",IF(E4="fill values in all yellow cells","input is missing",IF(AND(G18&gt;0,G18&lt;21),"weakness zone",IF(T32&lt;5,"continuous",IF(T32&lt;100,"blocky","continuous")))))</f>
        <v>#VALUE!</v>
      </c>
      <c r="H29" s="639">
        <f>IF(H18=" Check that the values for Vb, jR, jA, etc. are representative for the weakness zone"," The support in weakness zones should generally be checked by other estimates","")</f>
      </c>
      <c r="I29" s="582"/>
      <c r="S29" s="358" t="s">
        <v>8</v>
      </c>
      <c r="T29" s="459" t="str">
        <f>IF(G14="","Vb=?",T28*(G14^0.3333)/27)</f>
        <v>Vb=?</v>
      </c>
      <c r="U29" s="465"/>
    </row>
    <row r="30" spans="1:21" ht="12" customHeight="1">
      <c r="A30" s="351"/>
      <c r="B30" s="352"/>
      <c r="C30" s="339" t="s">
        <v>410</v>
      </c>
      <c r="D30" s="339"/>
      <c r="E30" s="339"/>
      <c r="F30" s="416" t="e">
        <f>IF(OR(G30="",G30="-"),"","pattern = ")</f>
        <v>#VALUE!</v>
      </c>
      <c r="G30" s="353" t="e">
        <f>IF(G29="continuous","",IF(G29="input is missing","",IF(T47&gt;7*T45^(0.27*T45^-0.1),"-",IF(T47&lt;SQRT(T45),"spot bolting",IF(T47&lt;2*SQRT(T45),"3 x 3m",IF(T47&lt;4*SQRT(T45),"2 x 2m",IF(T47&lt;6*SQRT(T45),"1.5 x 1.5m","1.3 x 1.3m")))))))</f>
        <v>#VALUE!</v>
      </c>
      <c r="H30" s="481">
        <f>IF(G19&gt;0.99," Check input of seam","")</f>
      </c>
      <c r="I30" s="341"/>
      <c r="S30" s="358" t="s">
        <v>9</v>
      </c>
      <c r="T30" s="459" t="str">
        <f>IF(G14="","Vb=?",IF(G14=0,"Vb =?",(0.05/T29)^0.2))</f>
        <v>Vb=?</v>
      </c>
      <c r="U30" s="465"/>
    </row>
    <row r="31" spans="1:21" ht="12" customHeight="1">
      <c r="A31" s="351"/>
      <c r="B31" s="352"/>
      <c r="C31" s="339" t="s">
        <v>411</v>
      </c>
      <c r="D31" s="339"/>
      <c r="E31" s="339"/>
      <c r="F31" s="578" t="e">
        <f>IF(OR(G31="",G31="-"),"","pattern = ")</f>
        <v>#VALUE!</v>
      </c>
      <c r="G31" s="353" t="e">
        <f>IF(OR(G29="continuous",G29="input is missing"),"",IF(T47&lt;7*T45^(0.27*T45^-0.1),"-",IF(T47&lt;2*SQRT(T45),"3 x 3m",IF(T47&lt;7*SQRT(T45),"2 x 2m",IF(T47&lt;20*SQRT(T45),"1.5 x 1.5m",IF(T47&lt;60*SQRT(T45),"1.25 x 1.25m",IF(T47&lt;200*SQRT(T45),"1 x 1","special bolting")))))))</f>
        <v>#VALUE!</v>
      </c>
      <c r="H31" s="667" t="e">
        <f>IF(G29=G36,"","See NOTE")</f>
        <v>#VALUE!</v>
      </c>
      <c r="I31" s="354" t="s">
        <v>408</v>
      </c>
      <c r="S31" s="358" t="s">
        <v>10</v>
      </c>
      <c r="T31" s="459" t="str">
        <f>IF(OR(G8="",G8="x",G14="",G14="x"),"input?",IF(T27&gt;T30,T30*G8,T27*G8))</f>
        <v>input?</v>
      </c>
      <c r="U31" s="465"/>
    </row>
    <row r="32" spans="1:21" ht="12" customHeight="1">
      <c r="A32" s="351" t="e">
        <f>IF(AND(G29="initial support in partic. ground",C51&gt;0),"Initial support in","Total amount of")</f>
        <v>#VALUE!</v>
      </c>
      <c r="B32" s="352"/>
      <c r="C32" s="339" t="s">
        <v>447</v>
      </c>
      <c r="D32" s="339"/>
      <c r="E32" s="339"/>
      <c r="F32" s="429"/>
      <c r="G32" s="353" t="e">
        <f>IF(OR(G29="continuous",T31="input?"),"",IF(T47&lt;7*T45^(0.27*T45^-0.1),"-",IF(T47&lt;10*T45^0.345,"40 - 50mm",IF(T47&lt;15*T45^0.45,"50 - 70mm",IF(T47&lt;30*SQRT(T45),"70 - 100mm",IF(T47&lt;60*SQRT(T45),"100 - 150mm",IF(T47&lt;200*SQRT(T45),"150 - 250mm","see below")))))))</f>
        <v>#VALUE!</v>
      </c>
      <c r="H32" s="667"/>
      <c r="I32" s="354" t="s">
        <v>404</v>
      </c>
      <c r="S32" s="371" t="s">
        <v>259</v>
      </c>
      <c r="T32" s="460">
        <f>IF(T$31="input?","",B4/T29)</f>
      </c>
      <c r="U32" s="466" t="str">
        <f>IF(T32&lt;5,"cont.",IF(T32&lt;100,"blocky","cont."))</f>
        <v>cont.</v>
      </c>
    </row>
    <row r="33" spans="1:21" ht="12" customHeight="1">
      <c r="A33" s="436" t="e">
        <f>IF(AND(G29="initial support in partic. ground",C51&gt;0),"particulate ground","rock support in")</f>
        <v>#VALUE!</v>
      </c>
      <c r="B33" s="352"/>
      <c r="C33" s="339" t="s">
        <v>449</v>
      </c>
      <c r="D33" s="339"/>
      <c r="E33" s="339"/>
      <c r="F33" s="483" t="e">
        <f>IF(OR(G29="continuous",G29="input is missing"),"",IF(OR(T47&lt;T44^-1.3,T48&lt;T46^-1.3,T47&gt;600,T48&gt;600),"Estimate is",""))</f>
        <v>#VALUE!</v>
      </c>
      <c r="G33" s="353" t="e">
        <f>IF(G29="continuous","",IF(T31="input?","",IF(T47&lt;10*T45^(0.27*T45^-0.1),"",IF(T47&gt;T45^1.35,"yes","-"))))</f>
        <v>#VALUE!</v>
      </c>
      <c r="H33" s="667"/>
      <c r="I33" s="355" t="s">
        <v>405</v>
      </c>
      <c r="S33" s="384" t="s">
        <v>260</v>
      </c>
      <c r="T33" s="471">
        <f>IF(T$31="input?","",B5/T29)</f>
      </c>
      <c r="U33" s="385" t="str">
        <f>IF(T33&lt;5,"cont.",IF(T33&lt;100,"blocky","cont."))</f>
        <v>cont.</v>
      </c>
    </row>
    <row r="34" spans="1:21" ht="12" customHeight="1">
      <c r="A34" s="399" t="str">
        <f>IF(OR(G18&gt;0,C51&gt;0),"","blocky ground")</f>
        <v>blocky ground</v>
      </c>
      <c r="B34" s="352"/>
      <c r="C34" s="306" t="s">
        <v>412</v>
      </c>
      <c r="D34" s="306"/>
      <c r="E34" s="306"/>
      <c r="F34" s="484" t="e">
        <f>IF(OR(G29="continuous",G29="input is missing"),"",IF(OR(T47&lt;T44^-1.3,T48&lt;T46^-1.3,T47&gt;600,T48&gt;600),"outside limit",""))</f>
        <v>#VALUE!</v>
      </c>
      <c r="G34" s="359" t="e">
        <f>IF(G29="input is missing","",IF(G29="continuous","",IF(T47&lt;200*SQRT(T45),"",IF(T47&lt;600*SQRT(T45),"Concrete lining, or",IF(AND(T47&gt;=600*SQRT(T45),T47&gt;1),"Shotcrete and concrete lining","-")))))</f>
        <v>#VALUE!</v>
      </c>
      <c r="H34" s="667"/>
      <c r="I34" s="357"/>
      <c r="S34" s="470"/>
      <c r="T34" s="457" t="s">
        <v>305</v>
      </c>
      <c r="U34" s="352"/>
    </row>
    <row r="35" spans="1:21" ht="12.75" customHeight="1">
      <c r="A35" s="399">
        <f>IF(G18="","","weakness zone")</f>
      </c>
      <c r="B35" s="360"/>
      <c r="C35" s="361"/>
      <c r="D35" s="361"/>
      <c r="E35" s="361"/>
      <c r="F35" s="362"/>
      <c r="G35" s="363" t="e">
        <f>IF(G34="","",IF(G34="Concrete lining, or","special designed shotcrete",IF(G34="Shotcrete and concrete lining","Use shotcrete quickly after blast","")))</f>
        <v>#VALUE!</v>
      </c>
      <c r="H35" s="667"/>
      <c r="S35" s="455" t="s">
        <v>349</v>
      </c>
      <c r="T35" s="310"/>
      <c r="U35" s="401"/>
    </row>
    <row r="36" spans="1:21" ht="12" customHeight="1">
      <c r="A36" s="356"/>
      <c r="B36" s="352"/>
      <c r="C36" s="364" t="s">
        <v>258</v>
      </c>
      <c r="D36" s="364"/>
      <c r="E36" s="365"/>
      <c r="F36" s="366" t="s">
        <v>17</v>
      </c>
      <c r="G36" s="397" t="e">
        <f>IF(AND(G52="particulate with ",C58&gt;0),"initial support in partic. ground",IF(E4="fill values in all yellow cells","input is missing",IF(AND(G18&gt;0,G18&lt;21),"weakness zone",IF(T33&lt;5,"continuous",IF(T33&lt;100,"blocky","continuous")))))</f>
        <v>#VALUE!</v>
      </c>
      <c r="H36" s="667"/>
      <c r="I36" s="584" t="e">
        <f>IF(G29="weakness zone","",IF(AND(U32="cont.",U33="blocky"),"NOTE",IF(AND(U32="blocky",U33="cont."),"NOTE","")))</f>
        <v>#VALUE!</v>
      </c>
      <c r="J36" s="367"/>
      <c r="K36" s="367"/>
      <c r="L36" s="367"/>
      <c r="M36" s="367"/>
      <c r="N36" s="367"/>
      <c r="S36" s="371" t="s">
        <v>1</v>
      </c>
      <c r="T36" s="460">
        <f>IF(G25="",1,G25)</f>
        <v>1</v>
      </c>
      <c r="U36" s="465"/>
    </row>
    <row r="37" spans="1:21" ht="12" customHeight="1">
      <c r="A37" s="351"/>
      <c r="B37" s="352"/>
      <c r="C37" s="339" t="s">
        <v>413</v>
      </c>
      <c r="D37" s="339"/>
      <c r="E37" s="339"/>
      <c r="F37" s="416" t="e">
        <f>IF(OR(G37="",G37="-"),"","pattern = ")</f>
        <v>#VALUE!</v>
      </c>
      <c r="G37" s="433" t="e">
        <f>IF(G36="continuous","",IF(G36="input is missing","",IF(T48&gt;7*(T46)^(0.27*(T46)^-0.1),"-",IF(T48&lt;SQRT(T46),"spot bolting",IF(T48&lt;2*SQRT(T46),"3 x 3m",IF(T48&lt;4*SQRT(T46),"2 x 2m",IF(T48&lt;6*SQRT(T46),"1.5 x 1.5m","1.3 x 1.3m")))))))</f>
        <v>#VALUE!</v>
      </c>
      <c r="H37" s="667"/>
      <c r="I37" s="357" t="e">
        <f>IF(I36="NOTE","Generally, it is no sharp boundary between continuous and","")</f>
        <v>#VALUE!</v>
      </c>
      <c r="M37" s="368"/>
      <c r="N37" s="368"/>
      <c r="S37" s="358" t="s">
        <v>13</v>
      </c>
      <c r="T37" s="459">
        <f>IF(OR(G23="",G23="x"),1,IF(0.5*(T55+T56)&lt;0.25,0.1,IF(0.5*(T55+T56)&lt;1,0.5,IF(0.5*(T55+T56)&lt;10,1,1.5))))</f>
        <v>1</v>
      </c>
      <c r="U37" s="465"/>
    </row>
    <row r="38" spans="1:21" ht="12" customHeight="1">
      <c r="A38" s="351"/>
      <c r="B38" s="352"/>
      <c r="C38" s="339" t="s">
        <v>414</v>
      </c>
      <c r="D38" s="339"/>
      <c r="E38" s="339"/>
      <c r="F38" s="578" t="e">
        <f>IF(OR(G38="",G38="-"),"","pattern = ")</f>
        <v>#VALUE!</v>
      </c>
      <c r="G38" s="433" t="e">
        <f>IF(OR(G36="input is missing",G36="continuous"),"",IF(T48&lt;7*(T46)^(0.27*(T46)^-0.1),"-",IF(T48&lt;2*SQRT(T46),"3 x 3m",IF(T48&lt;7*SQRT(T46),"2 x 2m",IF(T48&lt;20*SQRT(T46),"1.5 x 1.5m",IF(T48&lt;60*SQRT(T46),"1.25 x 1.25",IF(T48&lt;200*SQRT(T46),"1 x 1m","special bolting")))))))</f>
        <v>#VALUE!</v>
      </c>
      <c r="H38" s="667"/>
      <c r="I38" s="354" t="e">
        <f>IF(I36="NOTE","discontinuous (blocky) rock masses. For the  RMi support method,","")</f>
        <v>#VALUE!</v>
      </c>
      <c r="S38" s="358" t="s">
        <v>14</v>
      </c>
      <c r="T38" s="459">
        <f>IF(OR(G13="",G13="x"),1,3/G13)</f>
        <v>1</v>
      </c>
      <c r="U38" s="465"/>
    </row>
    <row r="39" spans="1:21" ht="12" customHeight="1">
      <c r="A39" s="351" t="e">
        <f>IF(AND(G36="initial support in partic. ground",C58&gt;0),"Initial support in",IF(A32="Total amount of","","Total amount of"))</f>
        <v>#VALUE!</v>
      </c>
      <c r="B39" s="352"/>
      <c r="C39" s="339" t="s">
        <v>448</v>
      </c>
      <c r="D39" s="339"/>
      <c r="E39" s="339"/>
      <c r="F39" s="429"/>
      <c r="G39" s="433" t="e">
        <f>IF(OR(G36="continuous",T31="input?"),"",IF(T48&lt;7*(T46)^(0.27*(T46)^-0.1),"-",IF(T48&lt;10*(T46)^0.345,"40 - 50mm",IF(T48&lt;15*(T46)^0.45,"50 - 70mm",IF(T48&lt;30*SQRT(T46),"70 - 100mm",IF(T48&lt;60*SQRT(T46),"100 - 150mm",IF(T48&lt;200*SQRT(T46),"150 - 250mm","see below")))))))</f>
        <v>#VALUE!</v>
      </c>
      <c r="H39" s="653"/>
      <c r="I39" s="354" t="e">
        <f>IF(I36="NOTE","continuous ground is  assumed where the number of blocks along","")</f>
        <v>#VALUE!</v>
      </c>
      <c r="S39" s="358" t="s">
        <v>327</v>
      </c>
      <c r="T39" s="459">
        <f>IF(OR(G16="",G16="x"),1.5,G16)</f>
        <v>1.5</v>
      </c>
      <c r="U39" s="466" t="s">
        <v>325</v>
      </c>
    </row>
    <row r="40" spans="1:21" ht="12" customHeight="1">
      <c r="A40" s="436" t="e">
        <f>IF(AND(G36="initial support in partic. ground",C58&gt;0),"particulate ground",IF(A39="Total amount of","rock support in",""))</f>
        <v>#VALUE!</v>
      </c>
      <c r="B40" s="352"/>
      <c r="C40" s="339" t="s">
        <v>450</v>
      </c>
      <c r="D40" s="339"/>
      <c r="E40" s="339"/>
      <c r="F40" s="630" t="e">
        <f>IF(OR(G36="continuous",G36="input is missing"),"",IF(OR(T47&lt;T44^-1.3,T48&lt;T46^-1.3,T47&gt;600,T48&gt;600),"Estimate is",""))</f>
        <v>#VALUE!</v>
      </c>
      <c r="G40" s="433" t="e">
        <f>IF(G36="continuous","",IF(T31="input?","",IF(T48&lt;10*(T46)^(0.27*(T46)^-0.1),"",IF(T48&gt;(T46)^1.35,"yes","-"))))</f>
        <v>#VALUE!</v>
      </c>
      <c r="H40" s="663" t="str">
        <f>IF(OR(G22&gt;0,G23&gt;0),"",IF(OR(U32="cont.",U33="cont."),"Value must be given for stresses or overburden"))</f>
        <v>Value must be given for stresses or overburden</v>
      </c>
      <c r="I40" s="354" t="e">
        <f>IF(I36="NOTE","the roof or the walls is more than 100 or less than 5, calculated","")</f>
        <v>#VALUE!</v>
      </c>
      <c r="S40" s="358" t="s">
        <v>328</v>
      </c>
      <c r="T40" s="459">
        <f>IF(OR(G17="",G17="x"),1.5,G17)</f>
        <v>1.5</v>
      </c>
      <c r="U40" s="466" t="s">
        <v>326</v>
      </c>
    </row>
    <row r="41" spans="1:21" ht="12" customHeight="1">
      <c r="A41" s="399" t="e">
        <f>IF(OR(G25&gt;0,C58&gt;0),"",IF(A39="Total amount of","blocky ground",""))</f>
        <v>#VALUE!</v>
      </c>
      <c r="B41" s="352"/>
      <c r="C41" s="430" t="s">
        <v>412</v>
      </c>
      <c r="D41" s="430"/>
      <c r="E41" s="430"/>
      <c r="F41" s="631" t="e">
        <f>IF(OR(G36="continuous",G36="input is missing"),"",IF(OR(T47&lt;T44^-1.3,T48&lt;T46^-1.3,T47&gt;600,T48&gt;600),"outside limit",""))</f>
        <v>#VALUE!</v>
      </c>
      <c r="G41" s="632" t="e">
        <f>IF(G36="input is missing","",IF(G36="continuous","",IF(T48&lt;200*SQRT(T46),"",IF(T48&lt;600*SQRT(T46),"Concrete lining, or",IF(AND(T48&gt;=600*SQRT(T46),T48&gt;1),"Shotcrete and concrete lining","-")))))</f>
        <v>#VALUE!</v>
      </c>
      <c r="H41" s="663"/>
      <c r="I41" s="354" t="e">
        <f>IF(I36="NOTE","from the ratio Dt /Db  (or Wt /Db) between tunnel span, Dt","")</f>
        <v>#VALUE!</v>
      </c>
      <c r="S41" s="358" t="s">
        <v>330</v>
      </c>
      <c r="T41" s="459">
        <f>IF(OR(G20="",G20="x"),1,G20)</f>
        <v>1</v>
      </c>
      <c r="U41" s="466" t="s">
        <v>325</v>
      </c>
    </row>
    <row r="42" spans="1:21" ht="12.75" customHeight="1">
      <c r="A42" s="369"/>
      <c r="B42" s="370"/>
      <c r="C42" s="361"/>
      <c r="D42" s="361"/>
      <c r="E42" s="361"/>
      <c r="F42" s="361"/>
      <c r="G42" s="363" t="e">
        <f>IF(G41="","",IF(G41="Concrete lining, or","special designed shotcrete",IF(G41="Shotcrete and concrete lining","Use shotcrete quickly after blast","")))</f>
        <v>#VALUE!</v>
      </c>
      <c r="H42" s="663"/>
      <c r="I42" s="354" t="e">
        <f>IF(I36="NOTE","(or wall height, Wt), and block diameter, Db. As the","")</f>
        <v>#VALUE!</v>
      </c>
      <c r="S42" s="358" t="s">
        <v>329</v>
      </c>
      <c r="T42" s="459">
        <f>IF(OR(G21="",G21="x"),1,G21)</f>
        <v>1</v>
      </c>
      <c r="U42" s="466" t="s">
        <v>326</v>
      </c>
    </row>
    <row r="43" spans="1:21" ht="12" customHeight="1">
      <c r="A43" s="351"/>
      <c r="B43" s="347"/>
      <c r="C43" s="347"/>
      <c r="D43" s="347"/>
      <c r="E43" s="347"/>
      <c r="F43" s="372"/>
      <c r="G43" s="403" t="e">
        <f>IF(AND(G29="blocky",T32&lt;10,T59&lt;1),"Stress problems might take place in the blocky ground",IF(AND(G36="blocky",T33&lt;10,T60&lt;1),"Stress problems might take place in the blocky ground",""))</f>
        <v>#VALUE!</v>
      </c>
      <c r="H43" s="663"/>
      <c r="I43" s="354" t="e">
        <f>IF(I36="NOTE","tunnel span and the wall height often are different, continuous","")</f>
        <v>#VALUE!</v>
      </c>
      <c r="S43" s="371" t="s">
        <v>354</v>
      </c>
      <c r="T43" s="460">
        <f>IF(B6="",1,5-4*COS(B6*PI()/180))</f>
        <v>1</v>
      </c>
      <c r="U43" s="590" t="s">
        <v>356</v>
      </c>
    </row>
    <row r="44" spans="1:21" ht="12" customHeight="1">
      <c r="A44" s="369"/>
      <c r="B44" s="310"/>
      <c r="C44" s="310"/>
      <c r="D44" s="310"/>
      <c r="E44" s="662" t="s">
        <v>443</v>
      </c>
      <c r="F44" s="373"/>
      <c r="G44" s="396" t="e">
        <f>IF(AND(G29="blocky",T32&gt;90),"Stress problems might take place in the blocky ground",IF(AND(G36="blocky",T33&gt;90),"Stress problems might take place in the blocky ground",""))</f>
        <v>#VALUE!</v>
      </c>
      <c r="H44" s="663"/>
      <c r="I44" s="354" t="e">
        <f>IF(I36="NOTE","ground may be calculated in the roof, while blocky","")</f>
        <v>#VALUE!</v>
      </c>
      <c r="S44" s="371" t="s">
        <v>355</v>
      </c>
      <c r="T44" s="460">
        <f>IF(T$31="input?","",T31*T37/T36)</f>
      </c>
      <c r="U44" s="466"/>
    </row>
    <row r="45" spans="1:21" ht="12" customHeight="1">
      <c r="A45" s="351"/>
      <c r="B45" s="374"/>
      <c r="C45" s="375" t="s">
        <v>387</v>
      </c>
      <c r="D45" s="375"/>
      <c r="E45" s="376"/>
      <c r="F45" s="377" t="s">
        <v>16</v>
      </c>
      <c r="G45" s="378" t="e">
        <f>IF(E4="fill values in all yellow cells","input is missing",IF(AND(G18&gt;0,G18&lt;21),"",IF($B$4/$T$29&lt;5,"massive with ",IF($B$4/$T$29&gt;100,"particulate with ",""))))</f>
        <v>#VALUE!</v>
      </c>
      <c r="H45" s="663"/>
      <c r="I45" s="354" t="e">
        <f>IF(I36="NOTE","ground may be found for the walls (or the opposite).","")</f>
        <v>#VALUE!</v>
      </c>
      <c r="S45" s="601" t="s">
        <v>398</v>
      </c>
      <c r="T45" s="512">
        <f>IF(T$31="input?","",T43*T31*T37/T36)</f>
      </c>
      <c r="U45" s="352"/>
    </row>
    <row r="46" spans="1:21" ht="12" customHeight="1">
      <c r="A46" s="515"/>
      <c r="B46" s="374"/>
      <c r="C46" s="379"/>
      <c r="D46" s="379"/>
      <c r="E46" s="379"/>
      <c r="F46" s="407" t="e">
        <f>IF(H9="","","fill in  Rock deformability (cell  G8) ")</f>
        <v>#VALUE!</v>
      </c>
      <c r="G46" s="380" t="e">
        <f>IF(OR(G45="",G45="input is missing"),"",IF(AND(G45="massive with ",$T$59&lt;1,$G$9=1),"rock bursting",IF(AND(G45="massive with ",$T$59&lt;1,$G$9=2),"squeezing",IF(AND(G45="particulate with ",$T$59&lt;1),"possible squeezing",IF(AND(G45="massive with ",T59&gt;2.5),"no stress problems",IF(T59="?","","probably no stress problem"))))))</f>
        <v>#VALUE!</v>
      </c>
      <c r="H46" s="663"/>
      <c r="I46" s="357" t="e">
        <f>IF(I36="NOTE","This will, of course, seldom be the case in practise.","")</f>
        <v>#VALUE!</v>
      </c>
      <c r="R46" s="347"/>
      <c r="S46" s="601" t="s">
        <v>399</v>
      </c>
      <c r="T46" s="461">
        <f>IF(T$31="input?","",T31*T37*5/T36)</f>
      </c>
      <c r="U46" s="466"/>
    </row>
    <row r="47" spans="1:21" ht="12" customHeight="1">
      <c r="A47" s="515"/>
      <c r="B47" s="510"/>
      <c r="C47" s="339" t="s">
        <v>413</v>
      </c>
      <c r="D47" s="339"/>
      <c r="E47" s="413"/>
      <c r="F47" s="578" t="e">
        <f>IF(OR(G47="",G47="-"),"","pattern = ")</f>
        <v>#VALUE!</v>
      </c>
      <c r="G47" s="433" t="e">
        <f>IF(T59="-","-",IF(G$45="","",IF(AND(G$9=1,T59&gt;0.5,G46="rock bursting"),"spaced 1.5-3m",IF(AND(G$9=1,T59&gt;1),"spot bolting",IF(OR(T59&gt;2.5,T59&lt;0.5),"-",IF(G46="no stress problems","spot bolting",""))))))</f>
        <v>#VALUE!</v>
      </c>
      <c r="H47" s="663"/>
      <c r="I47" s="357" t="e">
        <f>IF(I36="NOTE","It is then up to the user to find how the ground is supposed","")</f>
        <v>#VALUE!</v>
      </c>
      <c r="R47" s="347"/>
      <c r="S47" s="601" t="s">
        <v>400</v>
      </c>
      <c r="T47" s="461">
        <f>IF(T$31="input?","",IF(T49="no",G$18/T29*T39/T$38,B4/T$29*T39/T$38*(1+G19)*T41))</f>
      </c>
      <c r="U47" s="466"/>
    </row>
    <row r="48" spans="1:21" ht="12" customHeight="1">
      <c r="A48" s="351"/>
      <c r="B48" s="579"/>
      <c r="C48" s="339" t="s">
        <v>418</v>
      </c>
      <c r="D48" s="339"/>
      <c r="E48" s="413"/>
      <c r="F48" s="578" t="e">
        <f>IF(OR(G48="",G48="-"),"","pattern = ")</f>
        <v>#VALUE!</v>
      </c>
      <c r="G48" s="433" t="e">
        <f>IF(G$45="","",IF(T59&lt;0.25,"see below",IF(AND(G$46="rock bursting",T59&lt;0.5),"0.5x0.5m - 2x2m",IF(AND(G$46="possible squeezing",T59&lt;0.5),"0.5x0.5m - 1.5x1.5m",IF(AND(G$46="possible squeezing",T59&lt;1),"1.5x1.5m - 3x3m",IF(AND(G46="squeezing",T59&lt;0.5),"0.5x0.5m - 2x2m",IF(AND(G46="squeezing",T59&lt;1),"1.5x1.5 - 3x3m","-")))))))</f>
        <v>#VALUE!</v>
      </c>
      <c r="H48" s="663"/>
      <c r="I48" s="357" t="e">
        <f>IF(I36="NOTE","to behave; either as a discontinuous (blocky) material where the","")</f>
        <v>#VALUE!</v>
      </c>
      <c r="S48" s="602" t="s">
        <v>401</v>
      </c>
      <c r="T48" s="454">
        <f>IF(T$31="input?","",IF(T50="no",G$18/T$29*T40/T$38,T33*T40/T$38*(1+G19)*T42))</f>
      </c>
      <c r="U48" s="385"/>
    </row>
    <row r="49" spans="1:21" ht="12.75" customHeight="1">
      <c r="A49" s="351" t="s">
        <v>424</v>
      </c>
      <c r="B49" s="352"/>
      <c r="C49" s="339" t="s">
        <v>415</v>
      </c>
      <c r="D49" s="339"/>
      <c r="E49" s="413"/>
      <c r="F49" s="483" t="e">
        <f>IF(OR(G29="weakness zone",G29="blocky",G29="input is missing"),"",IF(T59&lt;0.1,"Estimate is",""))</f>
        <v>#VALUE!</v>
      </c>
      <c r="G49" s="433" t="e">
        <f>IF(G$45="","",IF(T59&lt;0.25,"see below",IF(AND(G$46="possible squeezing",T59&lt;0.5),"reinforced 100 - 150mm",IF(AND(G$46="possible squeezing",T59&lt;1),"reinforced 50 - 150mm",IF(AND(G$46="rock bursting",T59&lt;0.5),"fibrecrete 50 -100mm",IF(AND(G46="squeezing",T59&lt;0.5),"reinforced 100 - 150mm",IF(AND(G46="squeezing",T59&lt;1),"reinforced 50 - 150mm","-")))))))</f>
        <v>#VALUE!</v>
      </c>
      <c r="H49" s="663"/>
      <c r="I49" s="357" t="e">
        <f>IF(I36="NOTE","behaviour is determined by the individual blocks, or as a","")</f>
        <v>#VALUE!</v>
      </c>
      <c r="S49" s="383" t="s">
        <v>252</v>
      </c>
      <c r="T49" s="462" t="str">
        <f>IF(G18="","-",IF(G18&gt;B4,"yes","no"))</f>
        <v>-</v>
      </c>
      <c r="U49" s="469"/>
    </row>
    <row r="50" spans="1:21" ht="12" customHeight="1">
      <c r="A50" s="351" t="s">
        <v>425</v>
      </c>
      <c r="B50" s="352"/>
      <c r="C50" s="432" t="s">
        <v>412</v>
      </c>
      <c r="D50" s="430"/>
      <c r="E50" s="431"/>
      <c r="F50" s="484" t="e">
        <f>IF(OR(G29="weakness zone",G29="blocky",G29="input is missing"),"",IF(T59&lt;0.1,"outside limit",""))</f>
        <v>#VALUE!</v>
      </c>
      <c r="G50" s="381" t="e">
        <f>IF(G45="","",IF(AND(G46="rock bursting",T59&lt;0.25),"Very heavy rockburst, use",IF(AND(G46="possible squeezing",T59&lt;0.25),"Very heavy squeezing, use ",IF(AND(G46="squeezing",T59&lt;0.25),"Very heavy squeezing, use ","-                              "))))</f>
        <v>#VALUE!</v>
      </c>
      <c r="H50" s="663"/>
      <c r="I50" s="357" t="e">
        <f>IF(I36="NOTE","continuous material behaving as a bulk material.","")</f>
        <v>#VALUE!</v>
      </c>
      <c r="S50" s="384" t="s">
        <v>253</v>
      </c>
      <c r="T50" s="463" t="str">
        <f>IF(G18="","-",IF(G18&gt;B5,"yes","no"))</f>
        <v>-</v>
      </c>
      <c r="U50" s="468"/>
    </row>
    <row r="51" spans="1:21" ht="12" customHeight="1">
      <c r="A51" s="351"/>
      <c r="B51" s="629" t="e">
        <f>IF(OR(D51="for estimate of initial support, fill  'x' in cell C50",G28="clear cell C50"),"C50 --&gt;","")</f>
        <v>#VALUE!</v>
      </c>
      <c r="C51" s="580"/>
      <c r="D51" s="627" t="e">
        <f>IF(C51&gt;0,"",IF(G45="particulate with ","for estimate of initial support, fill  'x' in cell C50",""))</f>
        <v>#VALUE!</v>
      </c>
      <c r="E51" s="310"/>
      <c r="F51" s="311"/>
      <c r="G51" s="382" t="e">
        <f>IF(G45="","",IF(OR(G50="very heavy rockburst, use",G50="very heavy squeezing, use "),"special designed shotcrete and/or concrete lining ",""))</f>
        <v>#VALUE!</v>
      </c>
      <c r="H51" s="663"/>
      <c r="I51" s="357" t="s">
        <v>416</v>
      </c>
      <c r="S51" s="664" t="s">
        <v>350</v>
      </c>
      <c r="T51" s="665"/>
      <c r="U51" s="666"/>
    </row>
    <row r="52" spans="1:21" ht="12" customHeight="1">
      <c r="A52" s="638" t="s">
        <v>429</v>
      </c>
      <c r="B52" s="352"/>
      <c r="C52" s="375" t="s">
        <v>258</v>
      </c>
      <c r="D52" s="375"/>
      <c r="E52" s="347"/>
      <c r="F52" s="377" t="s">
        <v>17</v>
      </c>
      <c r="G52" s="378" t="e">
        <f>IF(E4="fill values in all yellow cells","input is missing",IF(AND(G18&gt;0,G18&lt;21),"",IF($B$5/$T$29&lt;5,"massive with ",IF($B$5/$T$29&gt;100,"particulate with ",""))))</f>
        <v>#VALUE!</v>
      </c>
      <c r="H52" s="663"/>
      <c r="I52" s="357" t="s">
        <v>407</v>
      </c>
      <c r="O52" s="347"/>
      <c r="S52" s="358" t="s">
        <v>18</v>
      </c>
      <c r="T52" s="459">
        <f>IF(B7="",3.2,IF(B7=1,3.2,IF(B7=2,1.9,IF(B7=3,3,IF(B7=4,4,3.5)))))</f>
        <v>3.2</v>
      </c>
      <c r="U52" s="466" t="s">
        <v>325</v>
      </c>
    </row>
    <row r="53" spans="1:21" ht="12" customHeight="1">
      <c r="A53" s="641" t="s">
        <v>0</v>
      </c>
      <c r="B53" s="352"/>
      <c r="C53" s="314"/>
      <c r="D53" s="314"/>
      <c r="E53" s="314"/>
      <c r="F53" s="407" t="e">
        <f>IF(H9="","","fill in  Rck deformability (cell  G8) ")</f>
        <v>#VALUE!</v>
      </c>
      <c r="G53" s="380" t="e">
        <f>IF(OR(G52="input is missing",G52=""),"",IF(AND(G52="massive with ",$T$60&lt;1,$G$9=1),"rock bursting",IF(AND(G52="massive with ",$T$60&lt;1,$G$9=2),"squeezing",IF(AND(G52="particulate with ",$T$60&lt;1),"possible squeezing",IF(AND(G45="massive with ",T60&gt;2.5),"no stress problems",IF(T60="?","","probably no stress problem"))))))</f>
        <v>#VALUE!</v>
      </c>
      <c r="H53" s="663"/>
      <c r="I53" s="357" t="s">
        <v>419</v>
      </c>
      <c r="O53" s="347"/>
      <c r="S53" s="358" t="s">
        <v>19</v>
      </c>
      <c r="T53" s="459">
        <f>IF(B7="",2.3,IF(B7=1,2.3,IF(B7=2,1.9,IF(B7=3,3,IF(B7=4,1.5,2.5)))))</f>
        <v>2.3</v>
      </c>
      <c r="U53" s="466" t="s">
        <v>326</v>
      </c>
    </row>
    <row r="54" spans="1:21" ht="12" customHeight="1">
      <c r="A54" s="351"/>
      <c r="B54" s="352"/>
      <c r="C54" s="339" t="s">
        <v>413</v>
      </c>
      <c r="D54" s="339"/>
      <c r="E54" s="413"/>
      <c r="F54" s="578" t="e">
        <f>IF(OR(G54="",G54="-"),"","pattern = ")</f>
        <v>#VALUE!</v>
      </c>
      <c r="G54" s="433" t="e">
        <f>IF(G$52="","",IF(AND(G$9=1,T60&gt;0.5,G53="rock bursting"),"spaced 1.5-3m",IF(AND(G$9=1,T60&gt;1),"spot bolting",IF(OR(T60&gt;2.5,T60&lt;0.5),"-",IF(G53="no stress problems","spot bolting","")))))</f>
        <v>#VALUE!</v>
      </c>
      <c r="H54" s="663"/>
      <c r="I54" s="357" t="s">
        <v>440</v>
      </c>
      <c r="J54" s="300"/>
      <c r="S54" s="358" t="s">
        <v>12</v>
      </c>
      <c r="T54" s="459">
        <f>IF(OR(G24="",G24="x"),1.5,G24)</f>
        <v>1.5</v>
      </c>
      <c r="U54" s="467"/>
    </row>
    <row r="55" spans="1:21" ht="12" customHeight="1">
      <c r="A55" s="351"/>
      <c r="B55" s="352"/>
      <c r="C55" s="339" t="s">
        <v>417</v>
      </c>
      <c r="D55" s="339"/>
      <c r="E55" s="413"/>
      <c r="F55" s="578" t="e">
        <f>IF(OR(G55="",G55="-"),"","pattern = ")</f>
        <v>#VALUE!</v>
      </c>
      <c r="G55" s="433" t="e">
        <f>IF(G$52="","",IF(T60&lt;0.25,"see below",IF(AND(G$53="rock bursting",T60&lt;0.5),"0.5x0.5m - 2x2m",IF(AND(G$53="possible squeezing",T60&lt;0.5),"0.5x0.5m - 1.5x1.5m",IF(AND(G$53="possible squeezing",T60&lt;1),"1.5x1.5m - 3x3m",IF(AND(G63="squeezing",T60&lt;0.5),"0.5x0.5m - 2x2m",IF(AND(G53="squeezing",T60&lt;1),"1.5x1.5m - 3x3m","-")))))))</f>
        <v>#VALUE!</v>
      </c>
      <c r="H55" s="663"/>
      <c r="I55" s="654" t="s">
        <v>438</v>
      </c>
      <c r="S55" s="592" t="s">
        <v>392</v>
      </c>
      <c r="T55" s="460">
        <f>IF(AND(G22="",G23=""),"",IF(AND(G22&gt;0,G23&gt;0),G22,IF(AND(G22&gt;0,G23=""),G22,0.027*G23)))</f>
      </c>
      <c r="U55" s="465"/>
    </row>
    <row r="56" spans="1:21" ht="12" customHeight="1">
      <c r="A56" s="356"/>
      <c r="B56" s="352"/>
      <c r="C56" s="339" t="s">
        <v>415</v>
      </c>
      <c r="D56" s="339"/>
      <c r="E56" s="413"/>
      <c r="F56" s="628" t="e">
        <f>IF(OR(G36="weakness zone",G36="blocky",G36="input is missing"),"",IF(T60&lt;0.1,"Estimate is",""))</f>
        <v>#VALUE!</v>
      </c>
      <c r="G56" s="433" t="e">
        <f>IF(G$52="","",IF(T60&lt;0.25,"see below",IF(AND(G$53="possible squeezing",T60&lt;0.5),"reinforced 100 - 150mm",IF(AND(G$53="possible squeezing",T60&lt;1),"reinforced 50 - 150mm",IF(AND(G$53="rock bursting",T60&lt;0.5),"fibrecrete 50 -100mm",IF(AND(G53="squeezing",T60&lt;0.5),"reinforced 100 - 150mm",IF(AND(G53="squeezing",T60&lt;1),"reinforced 50 - 150mm","-")))))))</f>
        <v>#VALUE!</v>
      </c>
      <c r="H56" s="663"/>
      <c r="I56" s="655" t="s">
        <v>439</v>
      </c>
      <c r="S56" s="592" t="s">
        <v>393</v>
      </c>
      <c r="T56" s="460">
        <f>IF(T55="","",T55*T54)</f>
      </c>
      <c r="U56" s="465"/>
    </row>
    <row r="57" spans="1:21" ht="13.5">
      <c r="A57" s="386"/>
      <c r="B57" s="352"/>
      <c r="C57" s="306" t="s">
        <v>412</v>
      </c>
      <c r="D57" s="306"/>
      <c r="E57" s="347"/>
      <c r="F57" s="485" t="e">
        <f>IF(OR(G36="weakness zone",G36="blocky",G36="input is missing"),"",IF(T60&lt;0.1,"outside limit",""))</f>
        <v>#VALUE!</v>
      </c>
      <c r="G57" s="381" t="e">
        <f>IF(G52="","",IF(AND(G53="rock bursting",T60&lt;0.25),"Very heavy rockburst, use",IF(AND(G53="possible squeezing",T60&lt;0.25),"Very heavy squeezing, use ",IF(AND(G53="squeezing",T60&lt;0.25),"Very heavy squeezing, use ","-                              "))))</f>
        <v>#VALUE!</v>
      </c>
      <c r="H57" s="663"/>
      <c r="S57" s="391" t="s">
        <v>331</v>
      </c>
      <c r="T57" s="459" t="str">
        <f>IF(AND(G23="",G22=""),"overburden?",(T54*T52-1)*T55)</f>
        <v>overburden?</v>
      </c>
      <c r="U57" s="591" t="s">
        <v>325</v>
      </c>
    </row>
    <row r="58" spans="1:21" ht="13.5" thickBot="1">
      <c r="A58" s="387"/>
      <c r="B58" s="633" t="e">
        <f>IF(OR(D58="for estimate of initial support, fill  'x' in cell C57",G28="clear cell C57"),"C57--&gt;","")</f>
        <v>#VALUE!</v>
      </c>
      <c r="C58" s="634"/>
      <c r="D58" s="626" t="e">
        <f>IF(C58&gt;0,"",IF(G52="particulate with ","for estimate of initial support, fill  'x' in cell C57",""))</f>
        <v>#VALUE!</v>
      </c>
      <c r="E58" s="388"/>
      <c r="F58" s="389"/>
      <c r="G58" s="390" t="e">
        <f>IF(G52="","",IF(OR(G57="very heavy rockburst, use",G57="very heavy squeezing, use "),"special designed shotcrete and/or concrete lining ",""))</f>
        <v>#VALUE!</v>
      </c>
      <c r="I58" s="300"/>
      <c r="J58" s="392" t="s">
        <v>297</v>
      </c>
      <c r="K58" s="567"/>
      <c r="L58" s="567"/>
      <c r="M58" s="567"/>
      <c r="N58" s="567"/>
      <c r="O58" s="567"/>
      <c r="P58" s="567"/>
      <c r="Q58" s="567"/>
      <c r="S58" s="391" t="s">
        <v>332</v>
      </c>
      <c r="T58" s="459" t="str">
        <f>IF(AND(G23="",G22=""),"overburden?",(T53-T54)*T56)</f>
        <v>overburden?</v>
      </c>
      <c r="U58" s="466" t="s">
        <v>326</v>
      </c>
    </row>
    <row r="59" spans="1:21" ht="12.75">
      <c r="A59" s="640" t="e">
        <f>IF(OR(G46="squeezing",G53="squeezing"),"Note that the  RMi  support evaluation method is not covering all types of stress problems in continuous ground,","")</f>
        <v>#VALUE!</v>
      </c>
      <c r="F59" s="300"/>
      <c r="G59" s="300"/>
      <c r="I59" s="569"/>
      <c r="J59" s="570"/>
      <c r="K59" s="567"/>
      <c r="L59" s="567"/>
      <c r="M59" s="567"/>
      <c r="N59" s="567"/>
      <c r="O59" s="567"/>
      <c r="P59" s="567"/>
      <c r="Q59" s="567"/>
      <c r="S59" s="601" t="s">
        <v>402</v>
      </c>
      <c r="T59" s="461" t="str">
        <f>IF(OR(T57="overburden?",T31="input?"),"?",T31/T57)</f>
        <v>?</v>
      </c>
      <c r="U59" s="466" t="s">
        <v>325</v>
      </c>
    </row>
    <row r="60" spans="1:21" ht="12.75">
      <c r="A60" s="640" t="e">
        <f>IF(OR(G46="squeezing",G53="squeezing"),"especially not squeezing conditions. Here, the support estimate given is based on a limited amount of cases.","")</f>
        <v>#VALUE!</v>
      </c>
      <c r="F60" s="392" t="s">
        <v>444</v>
      </c>
      <c r="G60" s="342" t="s">
        <v>441</v>
      </c>
      <c r="H60" s="645"/>
      <c r="I60" s="571"/>
      <c r="J60" s="572"/>
      <c r="K60" s="568"/>
      <c r="L60" s="568"/>
      <c r="M60" s="568"/>
      <c r="N60" s="568"/>
      <c r="O60" s="568"/>
      <c r="P60" s="568"/>
      <c r="Q60" s="393"/>
      <c r="S60" s="602" t="s">
        <v>403</v>
      </c>
      <c r="T60" s="581" t="str">
        <f>IF(OR(T58="overburden?",T31="input?"),"?",T31/T58)</f>
        <v>?</v>
      </c>
      <c r="U60" s="385" t="s">
        <v>326</v>
      </c>
    </row>
    <row r="61" ht="12.75">
      <c r="S61" s="625"/>
    </row>
    <row r="62" spans="6:16" ht="12.75">
      <c r="F62" s="300"/>
      <c r="G62" s="300"/>
      <c r="I62" s="642"/>
      <c r="J62" s="643"/>
      <c r="K62" s="644"/>
      <c r="L62" s="644"/>
      <c r="M62" s="644"/>
      <c r="N62" s="644"/>
      <c r="O62" s="644"/>
      <c r="P62" s="644"/>
    </row>
  </sheetData>
  <sheetProtection password="DB24" sheet="1" formatCells="0" formatColumns="0" formatRows="0"/>
  <mergeCells count="3">
    <mergeCell ref="H40:H57"/>
    <mergeCell ref="S51:U51"/>
    <mergeCell ref="H31:H38"/>
  </mergeCells>
  <printOptions/>
  <pageMargins left="0.72" right="0.57" top="0.7" bottom="0.6" header="0.31496062992125984" footer="0.42"/>
  <pageSetup orientation="portrait" paperSize="9" r:id="rId2"/>
  <headerFooter alignWithMargins="0">
    <oddFooter>&amp;R&amp;7Support estimate made &amp;D</oddFooter>
  </headerFooter>
  <ignoredErrors>
    <ignoredError sqref="G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7:N45"/>
  <sheetViews>
    <sheetView zoomScalePageLayoutView="0" workbookViewId="0" topLeftCell="A12">
      <selection activeCell="M45" sqref="M45"/>
    </sheetView>
  </sheetViews>
  <sheetFormatPr defaultColWidth="9.140625" defaultRowHeight="12.75"/>
  <cols>
    <col min="1" max="11" width="9.140625" style="0" customWidth="1"/>
    <col min="12" max="12" width="8.8515625" style="595" customWidth="1"/>
    <col min="13" max="13" width="9.421875" style="594" customWidth="1"/>
    <col min="14" max="14" width="8.28125" style="593" customWidth="1"/>
  </cols>
  <sheetData>
    <row r="7" ht="12">
      <c r="L7" s="598"/>
    </row>
    <row r="8" spans="12:14" ht="12">
      <c r="L8" s="615"/>
      <c r="M8" s="597"/>
      <c r="N8" s="7"/>
    </row>
    <row r="9" spans="12:14" ht="12">
      <c r="L9" s="615"/>
      <c r="M9" s="597"/>
      <c r="N9" s="7"/>
    </row>
    <row r="10" spans="12:14" ht="12">
      <c r="L10" s="615"/>
      <c r="M10" s="597"/>
      <c r="N10" s="7"/>
    </row>
    <row r="11" spans="12:14" ht="12">
      <c r="L11" s="615"/>
      <c r="M11" s="597"/>
      <c r="N11" s="7"/>
    </row>
    <row r="12" spans="12:14" ht="12">
      <c r="L12" s="615"/>
      <c r="M12" s="597"/>
      <c r="N12" s="7"/>
    </row>
    <row r="13" spans="12:14" ht="12.75">
      <c r="L13" s="616"/>
      <c r="M13" s="597"/>
      <c r="N13" s="7"/>
    </row>
    <row r="14" spans="12:14" ht="12">
      <c r="L14" s="615"/>
      <c r="M14" s="597"/>
      <c r="N14" s="7"/>
    </row>
    <row r="15" spans="12:14" ht="12">
      <c r="L15" s="615"/>
      <c r="M15" s="597"/>
      <c r="N15" s="7"/>
    </row>
    <row r="16" spans="12:14" ht="12">
      <c r="L16" s="613"/>
      <c r="M16" s="596"/>
      <c r="N16" s="614"/>
    </row>
    <row r="17" spans="12:14" ht="12">
      <c r="L17" s="613"/>
      <c r="M17" s="596"/>
      <c r="N17" s="614"/>
    </row>
    <row r="18" spans="12:14" ht="12">
      <c r="L18" s="613"/>
      <c r="M18" s="596"/>
      <c r="N18" s="614"/>
    </row>
    <row r="19" spans="12:14" ht="12">
      <c r="L19" s="613"/>
      <c r="M19" s="596"/>
      <c r="N19" s="614"/>
    </row>
    <row r="20" spans="12:14" ht="12">
      <c r="L20" s="613"/>
      <c r="M20" s="597"/>
      <c r="N20" s="7"/>
    </row>
    <row r="21" spans="12:14" ht="12">
      <c r="L21" s="615"/>
      <c r="M21" s="597"/>
      <c r="N21" s="7"/>
    </row>
    <row r="22" spans="12:14" ht="12">
      <c r="L22" s="615"/>
      <c r="M22" s="597"/>
      <c r="N22" s="7"/>
    </row>
    <row r="23" spans="12:14" ht="12">
      <c r="L23" s="615"/>
      <c r="M23" s="597"/>
      <c r="N23" s="7"/>
    </row>
    <row r="24" spans="12:14" ht="12">
      <c r="L24" s="383" t="s">
        <v>10</v>
      </c>
      <c r="M24" s="605" t="str">
        <f>'SUPPORT ESTIMATE'!T31</f>
        <v>input?</v>
      </c>
      <c r="N24" s="606"/>
    </row>
    <row r="25" spans="12:14" ht="12.75">
      <c r="L25" s="371" t="s">
        <v>259</v>
      </c>
      <c r="M25" s="607">
        <f>'SUPPORT ESTIMATE'!T32</f>
      </c>
      <c r="N25" s="608" t="str">
        <f>'SUPPORT ESTIMATE'!U32</f>
        <v>cont.</v>
      </c>
    </row>
    <row r="26" spans="12:14" ht="12.75">
      <c r="L26" s="384" t="s">
        <v>260</v>
      </c>
      <c r="M26" s="610">
        <f>'SUPPORT ESTIMATE'!T33</f>
      </c>
      <c r="N26" s="611" t="str">
        <f>'SUPPORT ESTIMATE'!U33</f>
        <v>cont.</v>
      </c>
    </row>
    <row r="27" spans="12:14" ht="12">
      <c r="L27" s="618"/>
      <c r="M27" s="619" t="str">
        <f>'SUPPORT ESTIMATE'!T34</f>
        <v>(CF = continuity factor)</v>
      </c>
      <c r="N27" s="620"/>
    </row>
    <row r="28" spans="12:14" ht="12">
      <c r="L28" s="615"/>
      <c r="M28" s="597"/>
      <c r="N28" s="7"/>
    </row>
    <row r="29" spans="12:14" ht="12">
      <c r="L29" s="621" t="s">
        <v>349</v>
      </c>
      <c r="M29" s="624"/>
      <c r="N29" s="604"/>
    </row>
    <row r="30" spans="12:14" ht="12">
      <c r="L30" s="601" t="s">
        <v>398</v>
      </c>
      <c r="M30" s="623">
        <f>'SUPPORT ESTIMATE'!T45</f>
      </c>
      <c r="N30" s="25"/>
    </row>
    <row r="31" spans="12:14" ht="12">
      <c r="L31" s="601" t="s">
        <v>399</v>
      </c>
      <c r="M31" s="609">
        <f>'SUPPORT ESTIMATE'!T46</f>
      </c>
      <c r="N31" s="608"/>
    </row>
    <row r="32" spans="12:14" ht="12">
      <c r="L32" s="601" t="s">
        <v>400</v>
      </c>
      <c r="M32" s="609">
        <f>'SUPPORT ESTIMATE'!T47</f>
      </c>
      <c r="N32" s="608"/>
    </row>
    <row r="33" spans="12:14" ht="12">
      <c r="L33" s="602" t="s">
        <v>401</v>
      </c>
      <c r="M33" s="612">
        <f>'SUPPORT ESTIMATE'!T48</f>
      </c>
      <c r="N33" s="611"/>
    </row>
    <row r="34" spans="12:14" ht="12">
      <c r="L34" s="615"/>
      <c r="M34" s="597"/>
      <c r="N34" s="7"/>
    </row>
    <row r="35" spans="12:14" ht="12">
      <c r="L35" s="615"/>
      <c r="M35" s="597"/>
      <c r="N35" s="7"/>
    </row>
    <row r="36" spans="12:14" ht="12">
      <c r="L36" s="613"/>
      <c r="M36" s="597"/>
      <c r="N36" s="7"/>
    </row>
    <row r="37" spans="12:14" ht="12">
      <c r="L37" s="615"/>
      <c r="M37" s="597"/>
      <c r="N37" s="7"/>
    </row>
    <row r="38" spans="12:14" ht="12">
      <c r="L38" s="615"/>
      <c r="M38" s="597"/>
      <c r="N38" s="7"/>
    </row>
    <row r="39" spans="12:14" ht="12">
      <c r="L39" s="615"/>
      <c r="M39" s="597"/>
      <c r="N39" s="7"/>
    </row>
    <row r="40" spans="12:14" ht="12">
      <c r="L40" s="617"/>
      <c r="M40" s="597"/>
      <c r="N40" s="7"/>
    </row>
    <row r="41" spans="12:14" ht="12">
      <c r="L41" s="617"/>
      <c r="M41" s="597"/>
      <c r="N41" s="7"/>
    </row>
    <row r="42" spans="12:14" ht="12">
      <c r="L42" s="617"/>
      <c r="M42" s="597"/>
      <c r="N42" s="7"/>
    </row>
    <row r="43" spans="12:14" ht="12">
      <c r="L43" s="622" t="s">
        <v>350</v>
      </c>
      <c r="M43" s="600"/>
      <c r="N43" s="604"/>
    </row>
    <row r="44" spans="12:14" ht="12">
      <c r="L44" s="601" t="s">
        <v>402</v>
      </c>
      <c r="M44" s="623" t="str">
        <f>'SUPPORT ESTIMATE'!T59</f>
        <v>?</v>
      </c>
      <c r="N44" s="25" t="str">
        <f>'SUPPORT ESTIMATE'!U59</f>
        <v>roof</v>
      </c>
    </row>
    <row r="45" spans="12:14" ht="12">
      <c r="L45" s="602" t="s">
        <v>403</v>
      </c>
      <c r="M45" s="599" t="str">
        <f>'SUPPORT ESTIMATE'!T60</f>
        <v>?</v>
      </c>
      <c r="N45" s="603" t="str">
        <f>'SUPPORT ESTIMATE'!U60</f>
        <v>wall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showGridLines="0" zoomScalePageLayoutView="0" workbookViewId="0" topLeftCell="A1">
      <selection activeCell="T2" sqref="T2"/>
    </sheetView>
  </sheetViews>
  <sheetFormatPr defaultColWidth="9.140625" defaultRowHeight="12.75"/>
  <cols>
    <col min="1" max="1" width="3.140625" style="0" customWidth="1"/>
    <col min="2" max="2" width="9.421875" style="0" customWidth="1"/>
    <col min="3" max="3" width="8.7109375" style="0" customWidth="1"/>
    <col min="4" max="4" width="13.8515625" style="0" customWidth="1"/>
    <col min="5" max="6" width="13.57421875" style="0" customWidth="1"/>
    <col min="7" max="7" width="14.00390625" style="0" customWidth="1"/>
    <col min="8" max="8" width="15.7109375" style="0" customWidth="1"/>
    <col min="9" max="9" width="2.00390625" style="0" customWidth="1"/>
    <col min="10" max="10" width="3.7109375" style="0" customWidth="1"/>
    <col min="11" max="11" width="9.8515625" style="0" customWidth="1"/>
    <col min="12" max="12" width="6.7109375" style="0" customWidth="1"/>
    <col min="13" max="13" width="12.7109375" style="0" customWidth="1"/>
    <col min="14" max="14" width="8.57421875" style="0" customWidth="1"/>
    <col min="15" max="15" width="2.7109375" style="0" customWidth="1"/>
    <col min="16" max="16" width="3.57421875" style="0" customWidth="1"/>
    <col min="17" max="17" width="10.28125" style="0" customWidth="1"/>
    <col min="18" max="18" width="9.140625" style="0" customWidth="1"/>
    <col min="19" max="19" width="12.28125" style="0" customWidth="1"/>
    <col min="20" max="20" width="9.28125" style="0" customWidth="1"/>
  </cols>
  <sheetData>
    <row r="1" spans="1:21" s="11" customFormat="1" ht="24.75" customHeight="1">
      <c r="A1" s="29" t="s">
        <v>22</v>
      </c>
      <c r="F1" s="12"/>
      <c r="G1" s="12"/>
      <c r="H1" s="12"/>
      <c r="I1" s="12"/>
      <c r="J1"/>
      <c r="K1" s="649"/>
      <c r="L1"/>
      <c r="M1"/>
      <c r="N1"/>
      <c r="O1"/>
      <c r="P1"/>
      <c r="Q1"/>
      <c r="R1"/>
      <c r="S1"/>
      <c r="T1" s="197"/>
      <c r="U1"/>
    </row>
    <row r="2" spans="9:21" s="11" customFormat="1" ht="12.75">
      <c r="I2" s="33"/>
      <c r="J2" s="557" t="s">
        <v>231</v>
      </c>
      <c r="K2" s="34"/>
      <c r="L2" s="34" t="s">
        <v>26</v>
      </c>
      <c r="M2" s="1"/>
      <c r="N2" s="1"/>
      <c r="O2" s="1"/>
      <c r="P2" s="1"/>
      <c r="Q2" s="1"/>
      <c r="R2" s="1"/>
      <c r="S2" s="1"/>
      <c r="T2" s="1"/>
      <c r="U2"/>
    </row>
    <row r="3" spans="1:21" s="11" customFormat="1" ht="12.75" customHeight="1" thickBot="1">
      <c r="A3" s="552" t="s">
        <v>23</v>
      </c>
      <c r="B3" s="553"/>
      <c r="C3" s="554" t="s">
        <v>24</v>
      </c>
      <c r="D3" s="1"/>
      <c r="E3" s="1"/>
      <c r="F3" s="31"/>
      <c r="G3" s="31"/>
      <c r="H3" s="32"/>
      <c r="I3" s="41"/>
      <c r="J3" s="42"/>
      <c r="K3" s="1"/>
      <c r="L3" s="43" t="s">
        <v>28</v>
      </c>
      <c r="M3" s="6"/>
      <c r="N3" s="4"/>
      <c r="O3" s="1"/>
      <c r="P3" s="6"/>
      <c r="Q3" s="6"/>
      <c r="R3" s="6"/>
      <c r="S3" s="6"/>
      <c r="T3" s="4"/>
      <c r="U3"/>
    </row>
    <row r="4" spans="1:21" s="11" customFormat="1" ht="12.75" customHeight="1">
      <c r="A4" s="35"/>
      <c r="B4" s="36" t="s">
        <v>27</v>
      </c>
      <c r="C4" s="37"/>
      <c r="D4" s="38" t="s">
        <v>321</v>
      </c>
      <c r="E4" s="39"/>
      <c r="F4" s="39"/>
      <c r="G4" s="39"/>
      <c r="H4" s="40"/>
      <c r="I4" s="7"/>
      <c r="J4" s="35"/>
      <c r="K4" s="46"/>
      <c r="L4" s="47"/>
      <c r="M4" s="48" t="s">
        <v>32</v>
      </c>
      <c r="N4" s="48" t="s">
        <v>33</v>
      </c>
      <c r="O4" s="47"/>
      <c r="P4" s="46"/>
      <c r="Q4" s="46"/>
      <c r="R4" s="47"/>
      <c r="S4" s="48" t="s">
        <v>32</v>
      </c>
      <c r="T4" s="49" t="s">
        <v>33</v>
      </c>
      <c r="U4"/>
    </row>
    <row r="5" spans="1:20" s="11" customFormat="1" ht="12.75" customHeight="1">
      <c r="A5" s="18"/>
      <c r="B5" s="44" t="s">
        <v>29</v>
      </c>
      <c r="C5" s="45"/>
      <c r="D5" s="680" t="s">
        <v>30</v>
      </c>
      <c r="E5" s="445" t="s">
        <v>31</v>
      </c>
      <c r="F5" s="682" t="s">
        <v>316</v>
      </c>
      <c r="G5" s="684" t="s">
        <v>315</v>
      </c>
      <c r="H5" s="15" t="s">
        <v>314</v>
      </c>
      <c r="I5" s="7"/>
      <c r="J5" s="55"/>
      <c r="K5" s="6" t="s">
        <v>36</v>
      </c>
      <c r="L5" s="56"/>
      <c r="M5" s="57" t="s">
        <v>37</v>
      </c>
      <c r="N5" s="58" t="s">
        <v>38</v>
      </c>
      <c r="O5" s="56"/>
      <c r="P5" s="2"/>
      <c r="Q5" s="6" t="s">
        <v>36</v>
      </c>
      <c r="R5" s="56"/>
      <c r="S5" s="57" t="s">
        <v>37</v>
      </c>
      <c r="T5" s="59" t="s">
        <v>38</v>
      </c>
    </row>
    <row r="6" spans="1:20" s="11" customFormat="1" ht="12.75" customHeight="1">
      <c r="A6" s="50"/>
      <c r="B6" s="51" t="s">
        <v>320</v>
      </c>
      <c r="C6" s="52"/>
      <c r="D6" s="681"/>
      <c r="E6" s="446" t="s">
        <v>34</v>
      </c>
      <c r="F6" s="683"/>
      <c r="G6" s="685"/>
      <c r="H6" s="54" t="s">
        <v>35</v>
      </c>
      <c r="I6" s="7"/>
      <c r="J6" s="55"/>
      <c r="K6" s="3"/>
      <c r="L6" s="56"/>
      <c r="M6" s="64" t="s">
        <v>40</v>
      </c>
      <c r="N6" s="65" t="s">
        <v>41</v>
      </c>
      <c r="O6" s="56"/>
      <c r="P6" s="2"/>
      <c r="Q6" s="3"/>
      <c r="R6" s="56"/>
      <c r="S6" s="64" t="s">
        <v>40</v>
      </c>
      <c r="T6" s="66" t="s">
        <v>41</v>
      </c>
    </row>
    <row r="7" spans="1:20" s="11" customFormat="1" ht="12.75" customHeight="1">
      <c r="A7" s="539" t="s">
        <v>322</v>
      </c>
      <c r="B7" s="448"/>
      <c r="C7" s="62"/>
      <c r="D7" s="22">
        <v>3</v>
      </c>
      <c r="E7" s="22">
        <v>4.5</v>
      </c>
      <c r="F7" s="440">
        <v>6</v>
      </c>
      <c r="G7" s="22">
        <v>9</v>
      </c>
      <c r="H7" s="63">
        <v>12</v>
      </c>
      <c r="I7" s="13"/>
      <c r="J7" s="50"/>
      <c r="K7" s="10"/>
      <c r="L7" s="70"/>
      <c r="M7" s="71" t="s">
        <v>43</v>
      </c>
      <c r="N7" s="72" t="s">
        <v>44</v>
      </c>
      <c r="O7" s="23"/>
      <c r="P7" s="10"/>
      <c r="Q7" s="10"/>
      <c r="R7" s="70"/>
      <c r="S7" s="71" t="s">
        <v>43</v>
      </c>
      <c r="T7" s="73" t="s">
        <v>44</v>
      </c>
    </row>
    <row r="8" spans="1:20" s="11" customFormat="1" ht="12.75" customHeight="1">
      <c r="A8" s="539" t="s">
        <v>39</v>
      </c>
      <c r="B8" s="19"/>
      <c r="C8" s="67"/>
      <c r="D8" s="68">
        <v>2</v>
      </c>
      <c r="E8" s="68">
        <v>3</v>
      </c>
      <c r="F8" s="441">
        <v>4</v>
      </c>
      <c r="G8" s="68">
        <v>6</v>
      </c>
      <c r="H8" s="69">
        <v>8</v>
      </c>
      <c r="I8" s="13"/>
      <c r="J8" s="686" t="s">
        <v>45</v>
      </c>
      <c r="K8" s="74" t="s">
        <v>46</v>
      </c>
      <c r="L8" s="75"/>
      <c r="M8" s="76" t="s">
        <v>47</v>
      </c>
      <c r="N8" s="77"/>
      <c r="O8" s="78"/>
      <c r="P8" s="689" t="s">
        <v>265</v>
      </c>
      <c r="Q8" s="79" t="s">
        <v>48</v>
      </c>
      <c r="R8" s="80"/>
      <c r="S8" s="81" t="s">
        <v>49</v>
      </c>
      <c r="T8" s="82">
        <v>31.2</v>
      </c>
    </row>
    <row r="9" spans="1:20" s="11" customFormat="1" ht="12.75" customHeight="1">
      <c r="A9" s="540" t="s">
        <v>42</v>
      </c>
      <c r="B9" s="438"/>
      <c r="C9" s="439"/>
      <c r="D9" s="68">
        <v>1.5</v>
      </c>
      <c r="E9" s="68">
        <v>2</v>
      </c>
      <c r="F9" s="441">
        <v>3</v>
      </c>
      <c r="G9" s="68">
        <v>4.5</v>
      </c>
      <c r="H9" s="69">
        <v>6</v>
      </c>
      <c r="I9" s="13"/>
      <c r="J9" s="687"/>
      <c r="K9" s="24" t="s">
        <v>51</v>
      </c>
      <c r="L9" s="86"/>
      <c r="M9" s="87" t="s">
        <v>52</v>
      </c>
      <c r="N9" s="88">
        <v>3.4</v>
      </c>
      <c r="O9" s="89"/>
      <c r="P9" s="690"/>
      <c r="Q9" s="90" t="s">
        <v>53</v>
      </c>
      <c r="R9" s="91"/>
      <c r="S9" s="92" t="s">
        <v>54</v>
      </c>
      <c r="T9" s="93" t="s">
        <v>55</v>
      </c>
    </row>
    <row r="10" spans="1:20" s="11" customFormat="1" ht="12.75" customHeight="1">
      <c r="A10" s="541" t="s">
        <v>50</v>
      </c>
      <c r="B10" s="438"/>
      <c r="C10" s="83"/>
      <c r="D10" s="84">
        <v>1</v>
      </c>
      <c r="E10" s="84">
        <v>1.5</v>
      </c>
      <c r="F10" s="441">
        <v>2</v>
      </c>
      <c r="G10" s="84">
        <v>3</v>
      </c>
      <c r="H10" s="85">
        <v>4</v>
      </c>
      <c r="I10" s="13"/>
      <c r="J10" s="687"/>
      <c r="K10" s="24" t="s">
        <v>56</v>
      </c>
      <c r="L10" s="86"/>
      <c r="M10" s="87" t="s">
        <v>57</v>
      </c>
      <c r="N10" s="88" t="s">
        <v>58</v>
      </c>
      <c r="O10" s="89"/>
      <c r="P10" s="690"/>
      <c r="Q10" s="90" t="s">
        <v>59</v>
      </c>
      <c r="R10" s="91"/>
      <c r="S10" s="92" t="s">
        <v>54</v>
      </c>
      <c r="T10" s="93" t="s">
        <v>60</v>
      </c>
    </row>
    <row r="11" spans="1:20" s="11" customFormat="1" ht="12.75" customHeight="1">
      <c r="A11" s="542" t="s">
        <v>317</v>
      </c>
      <c r="B11" s="447"/>
      <c r="C11" s="437"/>
      <c r="D11" s="53" t="s">
        <v>223</v>
      </c>
      <c r="E11" s="53">
        <v>1</v>
      </c>
      <c r="F11" s="444">
        <v>1.5</v>
      </c>
      <c r="G11" s="53">
        <v>2</v>
      </c>
      <c r="H11" s="127">
        <v>3</v>
      </c>
      <c r="I11" s="94"/>
      <c r="J11" s="687"/>
      <c r="K11" s="24" t="s">
        <v>61</v>
      </c>
      <c r="L11" s="86"/>
      <c r="M11" s="87" t="s">
        <v>62</v>
      </c>
      <c r="N11" s="88" t="s">
        <v>63</v>
      </c>
      <c r="O11" s="89"/>
      <c r="P11" s="690"/>
      <c r="Q11" s="90" t="s">
        <v>64</v>
      </c>
      <c r="R11" s="91"/>
      <c r="S11" s="92" t="s">
        <v>65</v>
      </c>
      <c r="T11" s="93"/>
    </row>
    <row r="12" spans="1:20" s="11" customFormat="1" ht="12.75" customHeight="1" thickBot="1">
      <c r="A12" s="95"/>
      <c r="B12" s="96"/>
      <c r="C12" s="442" t="s">
        <v>318</v>
      </c>
      <c r="D12" s="442"/>
      <c r="E12" s="442"/>
      <c r="F12" s="442"/>
      <c r="G12" s="442"/>
      <c r="H12" s="443"/>
      <c r="I12" s="97"/>
      <c r="J12" s="687"/>
      <c r="K12" s="24" t="s">
        <v>66</v>
      </c>
      <c r="L12" s="86"/>
      <c r="M12" s="87" t="s">
        <v>67</v>
      </c>
      <c r="N12" s="88" t="s">
        <v>68</v>
      </c>
      <c r="O12" s="89"/>
      <c r="P12" s="690"/>
      <c r="Q12" s="90" t="s">
        <v>69</v>
      </c>
      <c r="R12" s="91"/>
      <c r="S12" s="92" t="s">
        <v>70</v>
      </c>
      <c r="T12" s="93"/>
    </row>
    <row r="13" spans="1:20" s="11" customFormat="1" ht="12.75" customHeight="1">
      <c r="A13" s="98" t="s">
        <v>71</v>
      </c>
      <c r="B13"/>
      <c r="C13"/>
      <c r="D13" s="99"/>
      <c r="E13"/>
      <c r="F13"/>
      <c r="G13"/>
      <c r="H13"/>
      <c r="I13"/>
      <c r="J13" s="687"/>
      <c r="K13" s="24" t="s">
        <v>72</v>
      </c>
      <c r="L13" s="86"/>
      <c r="M13" s="87" t="s">
        <v>73</v>
      </c>
      <c r="N13" s="88" t="s">
        <v>74</v>
      </c>
      <c r="O13" s="89"/>
      <c r="P13" s="690"/>
      <c r="Q13" s="90" t="s">
        <v>75</v>
      </c>
      <c r="R13" s="91"/>
      <c r="S13" s="92" t="s">
        <v>76</v>
      </c>
      <c r="T13" s="93" t="s">
        <v>60</v>
      </c>
    </row>
    <row r="14" spans="1:20" s="11" customFormat="1" ht="12.75" customHeight="1">
      <c r="A14" s="30"/>
      <c r="B14" s="100"/>
      <c r="C14" s="101"/>
      <c r="D14" s="99"/>
      <c r="E14" s="97"/>
      <c r="F14" s="97"/>
      <c r="G14" s="97"/>
      <c r="H14" s="97"/>
      <c r="I14" s="97"/>
      <c r="J14" s="687"/>
      <c r="K14" s="24" t="s">
        <v>77</v>
      </c>
      <c r="L14" s="86"/>
      <c r="M14" s="87" t="s">
        <v>78</v>
      </c>
      <c r="N14" s="88"/>
      <c r="O14" s="89"/>
      <c r="P14" s="690"/>
      <c r="Q14" s="90" t="s">
        <v>79</v>
      </c>
      <c r="R14" s="91"/>
      <c r="S14" s="92" t="s">
        <v>80</v>
      </c>
      <c r="T14" s="93"/>
    </row>
    <row r="15" spans="1:20" s="11" customFormat="1" ht="12.75" customHeight="1" thickBot="1">
      <c r="A15" s="550" t="s">
        <v>81</v>
      </c>
      <c r="B15" s="551"/>
      <c r="C15" s="551" t="s">
        <v>82</v>
      </c>
      <c r="D15" s="555"/>
      <c r="E15" s="1"/>
      <c r="F15" s="1"/>
      <c r="G15" s="1"/>
      <c r="H15" s="1"/>
      <c r="I15"/>
      <c r="J15" s="687"/>
      <c r="K15" s="24" t="s">
        <v>83</v>
      </c>
      <c r="L15" s="86"/>
      <c r="M15" s="87" t="s">
        <v>84</v>
      </c>
      <c r="N15" s="88"/>
      <c r="O15" s="89"/>
      <c r="P15" s="690"/>
      <c r="Q15" s="90" t="s">
        <v>85</v>
      </c>
      <c r="R15" s="91"/>
      <c r="S15" s="92" t="s">
        <v>86</v>
      </c>
      <c r="T15" s="93" t="s">
        <v>87</v>
      </c>
    </row>
    <row r="16" spans="1:20" s="11" customFormat="1" ht="12.75" customHeight="1">
      <c r="A16" s="102" t="s">
        <v>88</v>
      </c>
      <c r="B16" s="103"/>
      <c r="C16" s="104"/>
      <c r="D16" s="104"/>
      <c r="E16" s="104"/>
      <c r="F16" s="104"/>
      <c r="G16" s="104"/>
      <c r="H16" s="105"/>
      <c r="I16" s="106"/>
      <c r="J16" s="687"/>
      <c r="K16" s="24" t="s">
        <v>89</v>
      </c>
      <c r="L16" s="86"/>
      <c r="M16" s="87" t="s">
        <v>90</v>
      </c>
      <c r="N16" s="88" t="s">
        <v>91</v>
      </c>
      <c r="O16" s="89"/>
      <c r="P16" s="690"/>
      <c r="Q16" s="90" t="s">
        <v>92</v>
      </c>
      <c r="R16" s="91"/>
      <c r="S16" s="92" t="s">
        <v>93</v>
      </c>
      <c r="T16" s="93" t="s">
        <v>60</v>
      </c>
    </row>
    <row r="17" spans="1:20" s="11" customFormat="1" ht="12.75" customHeight="1">
      <c r="A17" s="107" t="s">
        <v>94</v>
      </c>
      <c r="B17" s="108"/>
      <c r="C17" s="32"/>
      <c r="D17" s="109"/>
      <c r="E17" s="108" t="s">
        <v>95</v>
      </c>
      <c r="F17" s="108"/>
      <c r="G17" s="110"/>
      <c r="H17" s="127" t="s">
        <v>96</v>
      </c>
      <c r="I17" s="111"/>
      <c r="J17" s="687"/>
      <c r="K17" s="24" t="s">
        <v>97</v>
      </c>
      <c r="L17" s="86"/>
      <c r="M17" s="87" t="s">
        <v>98</v>
      </c>
      <c r="N17" s="88" t="s">
        <v>99</v>
      </c>
      <c r="O17" s="89"/>
      <c r="P17" s="690"/>
      <c r="Q17" s="90" t="s">
        <v>100</v>
      </c>
      <c r="R17" s="91"/>
      <c r="S17" s="92" t="s">
        <v>101</v>
      </c>
      <c r="T17" s="93"/>
    </row>
    <row r="18" spans="1:20" s="11" customFormat="1" ht="12.75" customHeight="1">
      <c r="A18" s="112" t="s">
        <v>102</v>
      </c>
      <c r="B18" s="20"/>
      <c r="C18" s="113" t="s">
        <v>103</v>
      </c>
      <c r="D18" s="114"/>
      <c r="E18" s="115" t="s">
        <v>104</v>
      </c>
      <c r="F18" s="114"/>
      <c r="G18" s="116"/>
      <c r="H18" s="69">
        <v>0.75</v>
      </c>
      <c r="I18" s="13"/>
      <c r="J18" s="688"/>
      <c r="K18" s="117" t="s">
        <v>105</v>
      </c>
      <c r="L18" s="118"/>
      <c r="M18" s="119" t="s">
        <v>106</v>
      </c>
      <c r="N18" s="120"/>
      <c r="O18" s="89"/>
      <c r="P18" s="690"/>
      <c r="Q18" s="90" t="s">
        <v>107</v>
      </c>
      <c r="R18" s="91"/>
      <c r="S18" s="92" t="s">
        <v>108</v>
      </c>
      <c r="T18" s="93" t="s">
        <v>58</v>
      </c>
    </row>
    <row r="19" spans="1:20" s="11" customFormat="1" ht="12.75" customHeight="1">
      <c r="A19" s="18"/>
      <c r="B19" s="20"/>
      <c r="C19" s="113" t="s">
        <v>109</v>
      </c>
      <c r="D19" s="114"/>
      <c r="E19" s="115" t="s">
        <v>110</v>
      </c>
      <c r="F19" s="114"/>
      <c r="G19" s="116"/>
      <c r="H19" s="69">
        <v>1</v>
      </c>
      <c r="I19" s="13"/>
      <c r="J19" s="692" t="s">
        <v>111</v>
      </c>
      <c r="K19" s="24" t="s">
        <v>112</v>
      </c>
      <c r="L19" s="86"/>
      <c r="M19" s="87" t="s">
        <v>113</v>
      </c>
      <c r="N19" s="88" t="s">
        <v>114</v>
      </c>
      <c r="O19" s="89"/>
      <c r="P19" s="690"/>
      <c r="Q19" s="90" t="s">
        <v>115</v>
      </c>
      <c r="R19" s="91"/>
      <c r="S19" s="92" t="s">
        <v>116</v>
      </c>
      <c r="T19" s="93"/>
    </row>
    <row r="20" spans="1:20" s="11" customFormat="1" ht="12.75" customHeight="1">
      <c r="A20" s="18"/>
      <c r="B20" s="20"/>
      <c r="C20" s="9" t="s">
        <v>117</v>
      </c>
      <c r="D20" s="121"/>
      <c r="E20" s="115" t="s">
        <v>118</v>
      </c>
      <c r="F20" s="114"/>
      <c r="G20" s="116"/>
      <c r="H20" s="69">
        <v>2</v>
      </c>
      <c r="I20" s="13"/>
      <c r="J20" s="693"/>
      <c r="K20" s="24" t="s">
        <v>119</v>
      </c>
      <c r="L20" s="86"/>
      <c r="M20" s="87" t="s">
        <v>120</v>
      </c>
      <c r="N20" s="88"/>
      <c r="O20" s="89"/>
      <c r="P20" s="690"/>
      <c r="Q20" s="90" t="s">
        <v>121</v>
      </c>
      <c r="R20" s="91"/>
      <c r="S20" s="92" t="s">
        <v>122</v>
      </c>
      <c r="T20" s="93" t="s">
        <v>123</v>
      </c>
    </row>
    <row r="21" spans="1:20" s="11" customFormat="1" ht="12.75" customHeight="1">
      <c r="A21" s="140"/>
      <c r="B21" s="114"/>
      <c r="C21" s="113"/>
      <c r="D21" s="114"/>
      <c r="E21" s="115" t="s">
        <v>124</v>
      </c>
      <c r="F21" s="114"/>
      <c r="G21" s="116"/>
      <c r="H21" s="69">
        <v>4</v>
      </c>
      <c r="I21" s="13"/>
      <c r="J21" s="693"/>
      <c r="K21" s="24" t="s">
        <v>125</v>
      </c>
      <c r="L21" s="86"/>
      <c r="M21" s="87" t="s">
        <v>126</v>
      </c>
      <c r="N21" s="88" t="s">
        <v>127</v>
      </c>
      <c r="O21" s="89"/>
      <c r="P21" s="690"/>
      <c r="Q21" s="90" t="s">
        <v>128</v>
      </c>
      <c r="R21" s="91"/>
      <c r="S21" s="92" t="s">
        <v>129</v>
      </c>
      <c r="T21" s="93" t="s">
        <v>60</v>
      </c>
    </row>
    <row r="22" spans="1:20" s="11" customFormat="1" ht="12.75" customHeight="1">
      <c r="A22" s="112" t="s">
        <v>130</v>
      </c>
      <c r="B22" s="20"/>
      <c r="C22" s="113" t="s">
        <v>131</v>
      </c>
      <c r="D22" s="21"/>
      <c r="E22" s="122" t="s">
        <v>132</v>
      </c>
      <c r="F22" s="113"/>
      <c r="G22" s="116"/>
      <c r="H22" s="69">
        <v>3</v>
      </c>
      <c r="I22" s="13"/>
      <c r="J22" s="693"/>
      <c r="K22" s="24" t="s">
        <v>133</v>
      </c>
      <c r="L22" s="86"/>
      <c r="M22" s="87" t="s">
        <v>134</v>
      </c>
      <c r="N22" s="88" t="s">
        <v>135</v>
      </c>
      <c r="O22" s="89"/>
      <c r="P22" s="690"/>
      <c r="Q22" s="90" t="s">
        <v>136</v>
      </c>
      <c r="R22" s="91"/>
      <c r="S22" s="92" t="s">
        <v>137</v>
      </c>
      <c r="T22" s="93" t="s">
        <v>138</v>
      </c>
    </row>
    <row r="23" spans="1:20" s="11" customFormat="1" ht="12.75" customHeight="1">
      <c r="A23" s="123" t="s">
        <v>139</v>
      </c>
      <c r="B23" s="124"/>
      <c r="C23" s="31" t="s">
        <v>140</v>
      </c>
      <c r="D23" s="125"/>
      <c r="E23" s="126" t="s">
        <v>141</v>
      </c>
      <c r="F23" s="31"/>
      <c r="G23" s="110"/>
      <c r="H23" s="127">
        <v>4</v>
      </c>
      <c r="I23" s="13"/>
      <c r="J23" s="693"/>
      <c r="K23" s="24" t="s">
        <v>142</v>
      </c>
      <c r="L23" s="86"/>
      <c r="M23" s="87" t="s">
        <v>143</v>
      </c>
      <c r="N23" s="88" t="s">
        <v>144</v>
      </c>
      <c r="O23" s="89"/>
      <c r="P23" s="690"/>
      <c r="Q23" s="90" t="s">
        <v>145</v>
      </c>
      <c r="R23" s="91"/>
      <c r="S23" s="92" t="s">
        <v>146</v>
      </c>
      <c r="T23" s="93" t="s">
        <v>147</v>
      </c>
    </row>
    <row r="24" spans="1:20" s="11" customFormat="1" ht="12.75" customHeight="1">
      <c r="A24" s="128" t="s">
        <v>148</v>
      </c>
      <c r="B24" s="129"/>
      <c r="C24" s="130"/>
      <c r="D24" s="130"/>
      <c r="E24" s="130"/>
      <c r="F24" s="52"/>
      <c r="G24" s="131" t="s">
        <v>149</v>
      </c>
      <c r="H24" s="132" t="s">
        <v>150</v>
      </c>
      <c r="I24" s="111"/>
      <c r="J24" s="693"/>
      <c r="K24" s="24" t="s">
        <v>151</v>
      </c>
      <c r="L24" s="86"/>
      <c r="M24" s="87" t="s">
        <v>152</v>
      </c>
      <c r="N24" s="88" t="s">
        <v>153</v>
      </c>
      <c r="O24" s="89"/>
      <c r="P24" s="690"/>
      <c r="Q24" s="90" t="s">
        <v>154</v>
      </c>
      <c r="R24" s="91"/>
      <c r="S24" s="92" t="s">
        <v>155</v>
      </c>
      <c r="T24" s="93"/>
    </row>
    <row r="25" spans="3:20" s="11" customFormat="1" ht="12.75" customHeight="1">
      <c r="C25" s="121"/>
      <c r="E25" s="9"/>
      <c r="F25" s="16"/>
      <c r="G25" s="133" t="s">
        <v>157</v>
      </c>
      <c r="H25" s="134" t="s">
        <v>158</v>
      </c>
      <c r="I25" s="13"/>
      <c r="J25" s="693"/>
      <c r="K25" s="24" t="s">
        <v>20</v>
      </c>
      <c r="L25" s="86"/>
      <c r="M25" s="87" t="s">
        <v>54</v>
      </c>
      <c r="N25" s="88" t="s">
        <v>159</v>
      </c>
      <c r="O25" s="89"/>
      <c r="P25" s="690"/>
      <c r="Q25" s="90" t="s">
        <v>160</v>
      </c>
      <c r="R25" s="91"/>
      <c r="S25" s="92" t="s">
        <v>161</v>
      </c>
      <c r="T25" s="93" t="s">
        <v>162</v>
      </c>
    </row>
    <row r="26" spans="1:20" s="11" customFormat="1" ht="12.75" customHeight="1">
      <c r="A26" s="245"/>
      <c r="B26" s="244" t="s">
        <v>156</v>
      </c>
      <c r="C26" s="135"/>
      <c r="D26" s="243" t="s">
        <v>95</v>
      </c>
      <c r="E26" s="32"/>
      <c r="F26" s="136"/>
      <c r="G26" s="137" t="s">
        <v>372</v>
      </c>
      <c r="H26" s="127" t="s">
        <v>163</v>
      </c>
      <c r="I26" s="13"/>
      <c r="J26" s="693"/>
      <c r="K26" s="24" t="s">
        <v>164</v>
      </c>
      <c r="L26" s="86"/>
      <c r="M26" s="87" t="s">
        <v>165</v>
      </c>
      <c r="N26" s="88" t="s">
        <v>58</v>
      </c>
      <c r="O26" s="89"/>
      <c r="P26" s="690"/>
      <c r="Q26" s="90" t="s">
        <v>166</v>
      </c>
      <c r="R26" s="91"/>
      <c r="S26" s="92" t="s">
        <v>167</v>
      </c>
      <c r="T26" s="93"/>
    </row>
    <row r="27" spans="1:20" s="11" customFormat="1" ht="12.75" customHeight="1">
      <c r="A27" s="138" t="s">
        <v>131</v>
      </c>
      <c r="B27" s="122"/>
      <c r="C27" s="21"/>
      <c r="D27" s="115" t="s">
        <v>168</v>
      </c>
      <c r="E27" s="114"/>
      <c r="F27" s="139"/>
      <c r="G27" s="116">
        <v>4</v>
      </c>
      <c r="H27" s="69">
        <v>8</v>
      </c>
      <c r="I27" s="13"/>
      <c r="J27" s="693"/>
      <c r="K27" s="24" t="s">
        <v>169</v>
      </c>
      <c r="L27" s="86"/>
      <c r="M27" s="88" t="s">
        <v>170</v>
      </c>
      <c r="N27" s="88" t="s">
        <v>60</v>
      </c>
      <c r="O27" s="89"/>
      <c r="P27" s="690"/>
      <c r="Q27" s="90" t="s">
        <v>171</v>
      </c>
      <c r="R27" s="91"/>
      <c r="S27" s="92" t="s">
        <v>172</v>
      </c>
      <c r="T27" s="93" t="s">
        <v>173</v>
      </c>
    </row>
    <row r="28" spans="1:20" s="11" customFormat="1" ht="12.75" customHeight="1">
      <c r="A28" s="140" t="s">
        <v>174</v>
      </c>
      <c r="B28" s="113"/>
      <c r="C28" s="21"/>
      <c r="D28" s="115" t="s">
        <v>175</v>
      </c>
      <c r="E28" s="114"/>
      <c r="F28" s="139"/>
      <c r="G28" s="116">
        <v>6</v>
      </c>
      <c r="H28" s="69">
        <v>10</v>
      </c>
      <c r="I28" s="13"/>
      <c r="J28" s="693"/>
      <c r="K28" s="24" t="s">
        <v>176</v>
      </c>
      <c r="L28" s="86"/>
      <c r="M28" s="88" t="s">
        <v>177</v>
      </c>
      <c r="N28" s="88"/>
      <c r="O28" s="89"/>
      <c r="P28" s="690"/>
      <c r="Q28" s="141" t="s">
        <v>178</v>
      </c>
      <c r="R28" s="91"/>
      <c r="S28" s="25" t="s">
        <v>179</v>
      </c>
      <c r="T28" s="142"/>
    </row>
    <row r="29" spans="1:20" s="11" customFormat="1" ht="12.75" customHeight="1">
      <c r="A29" s="140" t="s">
        <v>180</v>
      </c>
      <c r="B29" s="113"/>
      <c r="C29" s="21"/>
      <c r="D29" s="115" t="s">
        <v>181</v>
      </c>
      <c r="E29" s="114"/>
      <c r="F29" s="139"/>
      <c r="G29" s="116">
        <v>8</v>
      </c>
      <c r="H29" s="69">
        <v>12</v>
      </c>
      <c r="I29" s="13"/>
      <c r="J29" s="693"/>
      <c r="K29" s="24" t="s">
        <v>182</v>
      </c>
      <c r="L29" s="86"/>
      <c r="M29" s="88" t="s">
        <v>183</v>
      </c>
      <c r="N29" s="88" t="s">
        <v>184</v>
      </c>
      <c r="O29" s="89"/>
      <c r="P29" s="690"/>
      <c r="Q29" s="141" t="s">
        <v>185</v>
      </c>
      <c r="R29" s="91"/>
      <c r="S29" s="25" t="s">
        <v>186</v>
      </c>
      <c r="T29" s="142"/>
    </row>
    <row r="30" spans="1:20" s="11" customFormat="1" ht="12.75" customHeight="1" thickBot="1">
      <c r="A30" s="143" t="s">
        <v>187</v>
      </c>
      <c r="B30" s="144"/>
      <c r="C30" s="145"/>
      <c r="D30" s="146" t="s">
        <v>188</v>
      </c>
      <c r="E30" s="147"/>
      <c r="F30" s="148"/>
      <c r="G30" s="149" t="s">
        <v>189</v>
      </c>
      <c r="H30" s="150" t="s">
        <v>190</v>
      </c>
      <c r="I30" s="151"/>
      <c r="J30" s="693"/>
      <c r="K30" s="24" t="s">
        <v>191</v>
      </c>
      <c r="L30" s="86"/>
      <c r="M30" s="88" t="s">
        <v>192</v>
      </c>
      <c r="N30" s="88"/>
      <c r="O30" s="89"/>
      <c r="P30" s="690"/>
      <c r="Q30" s="141" t="s">
        <v>193</v>
      </c>
      <c r="R30" s="91"/>
      <c r="S30" s="25" t="s">
        <v>194</v>
      </c>
      <c r="T30" s="142" t="s">
        <v>195</v>
      </c>
    </row>
    <row r="31" spans="1:20" s="11" customFormat="1" ht="12.75" customHeight="1">
      <c r="A31" s="9"/>
      <c r="B31" s="9"/>
      <c r="C31" s="2"/>
      <c r="D31" s="152"/>
      <c r="E31" s="9"/>
      <c r="F31" s="9"/>
      <c r="G31" s="2"/>
      <c r="H31"/>
      <c r="I31"/>
      <c r="J31" s="693"/>
      <c r="K31" s="24" t="s">
        <v>196</v>
      </c>
      <c r="L31" s="86"/>
      <c r="M31" s="88" t="s">
        <v>197</v>
      </c>
      <c r="N31" s="88" t="s">
        <v>58</v>
      </c>
      <c r="O31" s="89"/>
      <c r="P31" s="690"/>
      <c r="Q31" s="141" t="s">
        <v>198</v>
      </c>
      <c r="R31" s="91"/>
      <c r="S31" s="25" t="s">
        <v>199</v>
      </c>
      <c r="T31" s="142" t="s">
        <v>200</v>
      </c>
    </row>
    <row r="32" spans="1:20" s="11" customFormat="1" ht="12.75" customHeight="1" thickBot="1">
      <c r="A32" s="550" t="s">
        <v>201</v>
      </c>
      <c r="B32" s="551"/>
      <c r="C32" s="551" t="s">
        <v>202</v>
      </c>
      <c r="D32" s="543"/>
      <c r="E32" s="544"/>
      <c r="F32" s="544"/>
      <c r="G32" s="544"/>
      <c r="H32"/>
      <c r="I32"/>
      <c r="J32" s="693"/>
      <c r="K32" s="24" t="s">
        <v>203</v>
      </c>
      <c r="L32" s="86"/>
      <c r="M32" s="88" t="s">
        <v>204</v>
      </c>
      <c r="N32" s="88" t="s">
        <v>60</v>
      </c>
      <c r="O32" s="89"/>
      <c r="P32" s="690"/>
      <c r="Q32" s="204"/>
      <c r="R32" s="205"/>
      <c r="S32" s="206"/>
      <c r="T32" s="207"/>
    </row>
    <row r="33" spans="1:20" s="11" customFormat="1" ht="12.75" customHeight="1">
      <c r="A33" s="153"/>
      <c r="B33" s="103" t="s">
        <v>205</v>
      </c>
      <c r="C33" s="154"/>
      <c r="D33" s="155" t="s">
        <v>206</v>
      </c>
      <c r="E33" s="545"/>
      <c r="F33" s="156"/>
      <c r="G33" s="157" t="s">
        <v>207</v>
      </c>
      <c r="H33" s="158" t="s">
        <v>208</v>
      </c>
      <c r="I33" s="159"/>
      <c r="J33" s="694"/>
      <c r="K33" s="117" t="s">
        <v>209</v>
      </c>
      <c r="L33" s="118"/>
      <c r="M33" s="120" t="s">
        <v>210</v>
      </c>
      <c r="N33" s="120"/>
      <c r="O33" s="200"/>
      <c r="P33" s="691"/>
      <c r="Q33" s="160"/>
      <c r="R33" s="161"/>
      <c r="S33" s="162"/>
      <c r="T33" s="163"/>
    </row>
    <row r="34" spans="1:20" s="11" customFormat="1" ht="12.75" customHeight="1">
      <c r="A34" s="477"/>
      <c r="B34" s="448" t="s">
        <v>335</v>
      </c>
      <c r="C34" s="476"/>
      <c r="D34" s="546" t="s">
        <v>345</v>
      </c>
      <c r="E34" s="448"/>
      <c r="F34" s="208"/>
      <c r="G34" s="209">
        <v>4</v>
      </c>
      <c r="H34" s="478">
        <v>8</v>
      </c>
      <c r="I34" s="13"/>
      <c r="J34" s="668" t="s">
        <v>211</v>
      </c>
      <c r="K34" s="24" t="s">
        <v>212</v>
      </c>
      <c r="L34" s="86"/>
      <c r="M34" s="25">
        <v>0.025</v>
      </c>
      <c r="N34" s="86"/>
      <c r="O34" s="201"/>
      <c r="P34" s="671" t="s">
        <v>211</v>
      </c>
      <c r="Q34" s="19" t="s">
        <v>213</v>
      </c>
      <c r="R34" s="208"/>
      <c r="S34" s="209" t="s">
        <v>214</v>
      </c>
      <c r="T34" s="165"/>
    </row>
    <row r="35" spans="1:20" s="11" customFormat="1" ht="12.75" customHeight="1">
      <c r="A35" s="60"/>
      <c r="B35" s="61" t="s">
        <v>336</v>
      </c>
      <c r="C35" s="164"/>
      <c r="D35" s="547" t="s">
        <v>373</v>
      </c>
      <c r="E35" s="438"/>
      <c r="F35" s="548"/>
      <c r="G35" s="116">
        <v>3</v>
      </c>
      <c r="H35" s="69">
        <v>6</v>
      </c>
      <c r="I35" s="13"/>
      <c r="J35" s="669"/>
      <c r="K35" s="24" t="s">
        <v>216</v>
      </c>
      <c r="L35" s="86"/>
      <c r="M35" s="25" t="s">
        <v>217</v>
      </c>
      <c r="N35" s="86"/>
      <c r="O35" s="5"/>
      <c r="P35" s="672"/>
      <c r="Q35" s="19" t="s">
        <v>218</v>
      </c>
      <c r="R35" s="86"/>
      <c r="S35" s="14" t="s">
        <v>219</v>
      </c>
      <c r="T35" s="165"/>
    </row>
    <row r="36" spans="1:20" s="11" customFormat="1" ht="12.75" customHeight="1">
      <c r="A36" s="60"/>
      <c r="B36" s="61" t="s">
        <v>337</v>
      </c>
      <c r="C36" s="164"/>
      <c r="D36" s="547" t="s">
        <v>215</v>
      </c>
      <c r="E36" s="438" t="s">
        <v>374</v>
      </c>
      <c r="F36" s="549"/>
      <c r="G36" s="116">
        <v>2</v>
      </c>
      <c r="H36" s="69">
        <v>4</v>
      </c>
      <c r="I36" s="13"/>
      <c r="J36" s="669"/>
      <c r="K36" s="24" t="s">
        <v>220</v>
      </c>
      <c r="L36" s="86"/>
      <c r="M36" s="25" t="s">
        <v>221</v>
      </c>
      <c r="N36" s="86"/>
      <c r="O36" s="5"/>
      <c r="P36" s="672"/>
      <c r="Q36" s="19" t="s">
        <v>222</v>
      </c>
      <c r="R36" s="86"/>
      <c r="S36" s="14" t="s">
        <v>223</v>
      </c>
      <c r="T36" s="165"/>
    </row>
    <row r="37" spans="1:20" s="11" customFormat="1" ht="12.75" customHeight="1" thickBot="1">
      <c r="A37" s="60"/>
      <c r="B37" s="61" t="s">
        <v>338</v>
      </c>
      <c r="C37" s="164"/>
      <c r="D37" s="547" t="s">
        <v>215</v>
      </c>
      <c r="E37" s="438" t="s">
        <v>375</v>
      </c>
      <c r="F37" s="549"/>
      <c r="G37" s="116">
        <v>1</v>
      </c>
      <c r="H37" s="69">
        <v>2</v>
      </c>
      <c r="I37" s="13"/>
      <c r="J37" s="670"/>
      <c r="K37" s="166"/>
      <c r="L37" s="167"/>
      <c r="M37" s="168"/>
      <c r="N37" s="169"/>
      <c r="O37" s="166"/>
      <c r="P37" s="673"/>
      <c r="Q37" s="167" t="s">
        <v>224</v>
      </c>
      <c r="R37" s="169" t="s">
        <v>225</v>
      </c>
      <c r="S37" s="210" t="s">
        <v>291</v>
      </c>
      <c r="T37" s="170"/>
    </row>
    <row r="38" spans="1:20" s="11" customFormat="1" ht="12.75" customHeight="1">
      <c r="A38" s="60"/>
      <c r="B38" s="61" t="s">
        <v>339</v>
      </c>
      <c r="C38" s="164"/>
      <c r="D38" s="547" t="s">
        <v>215</v>
      </c>
      <c r="E38" s="438" t="s">
        <v>376</v>
      </c>
      <c r="F38" s="549"/>
      <c r="G38" s="116">
        <v>0.75</v>
      </c>
      <c r="H38" s="69">
        <v>1.5</v>
      </c>
      <c r="I38" s="13"/>
      <c r="J38" s="219"/>
      <c r="K38" s="220" t="s">
        <v>310</v>
      </c>
      <c r="L38" s="185"/>
      <c r="M38" s="186"/>
      <c r="N38" s="186"/>
      <c r="O38" s="221" t="s">
        <v>227</v>
      </c>
      <c r="P38" s="186"/>
      <c r="Q38" s="186"/>
      <c r="R38" s="186"/>
      <c r="S38" s="186"/>
      <c r="T38" s="222"/>
    </row>
    <row r="39" spans="1:20" s="11" customFormat="1" ht="12.75" customHeight="1" thickBot="1">
      <c r="A39" s="171"/>
      <c r="B39" s="172" t="s">
        <v>340</v>
      </c>
      <c r="C39" s="173"/>
      <c r="D39" s="172" t="s">
        <v>226</v>
      </c>
      <c r="E39" s="167"/>
      <c r="F39" s="148"/>
      <c r="G39" s="174">
        <v>0.5</v>
      </c>
      <c r="H39" s="175">
        <v>1</v>
      </c>
      <c r="I39" s="177"/>
      <c r="J39"/>
      <c r="K39"/>
      <c r="L39"/>
      <c r="M39"/>
      <c r="N39"/>
      <c r="O39"/>
      <c r="P39"/>
      <c r="Q39"/>
      <c r="R39"/>
      <c r="S39"/>
      <c r="T39"/>
    </row>
    <row r="40" spans="1:22" ht="15" customHeight="1" thickBot="1">
      <c r="A40" s="223" t="s">
        <v>299</v>
      </c>
      <c r="B40" s="221"/>
      <c r="C40" s="220"/>
      <c r="D40" s="223"/>
      <c r="E40" s="223"/>
      <c r="F40" s="223"/>
      <c r="G40" s="220"/>
      <c r="H40" s="224" t="s">
        <v>228</v>
      </c>
      <c r="I40" s="181"/>
      <c r="J40" s="558" t="s">
        <v>25</v>
      </c>
      <c r="K40" s="178"/>
      <c r="L40" s="179" t="s">
        <v>230</v>
      </c>
      <c r="M40" s="180"/>
      <c r="N40" s="180"/>
      <c r="O40" s="180"/>
      <c r="P40" s="26"/>
      <c r="Q40" s="181"/>
      <c r="R40" s="182"/>
      <c r="S40" s="183"/>
      <c r="T40" s="3"/>
      <c r="U40" s="2"/>
      <c r="V40" s="3"/>
    </row>
    <row r="41" spans="9:22" s="186" customFormat="1" ht="13.5" customHeight="1">
      <c r="I41" s="184"/>
      <c r="J41" s="674" t="s">
        <v>435</v>
      </c>
      <c r="K41" s="675"/>
      <c r="L41" s="675"/>
      <c r="M41" s="675"/>
      <c r="N41" s="675"/>
      <c r="O41" s="675"/>
      <c r="P41" s="675"/>
      <c r="Q41" s="675"/>
      <c r="R41" s="675"/>
      <c r="S41" s="675"/>
      <c r="T41" s="676"/>
      <c r="U41" s="2"/>
      <c r="V41" s="185"/>
    </row>
    <row r="42" spans="9:22" s="186" customFormat="1" ht="13.5" customHeight="1" thickBot="1">
      <c r="I42" s="184"/>
      <c r="J42" s="677"/>
      <c r="K42" s="678"/>
      <c r="L42" s="678"/>
      <c r="M42" s="678"/>
      <c r="N42" s="678"/>
      <c r="O42" s="678"/>
      <c r="P42" s="678"/>
      <c r="Q42" s="678"/>
      <c r="R42" s="678"/>
      <c r="S42" s="678"/>
      <c r="T42" s="679"/>
      <c r="U42" s="2"/>
      <c r="V42" s="185"/>
    </row>
    <row r="43" spans="1:22" ht="12" customHeight="1" thickBot="1">
      <c r="A43" s="556" t="s">
        <v>229</v>
      </c>
      <c r="B43" s="189"/>
      <c r="C43" s="189" t="s">
        <v>232</v>
      </c>
      <c r="D43" s="189"/>
      <c r="E43" s="226"/>
      <c r="F43" s="226"/>
      <c r="G43" s="226"/>
      <c r="H43" s="226"/>
      <c r="J43" s="2"/>
      <c r="R43" s="187"/>
      <c r="S43" s="188"/>
      <c r="T43" s="187"/>
      <c r="U43" s="2"/>
      <c r="V43" s="3"/>
    </row>
    <row r="44" spans="1:22" ht="16.5" customHeight="1" thickBot="1">
      <c r="A44" s="199"/>
      <c r="B44" s="227"/>
      <c r="C44" s="228"/>
      <c r="D44" s="560" t="s">
        <v>233</v>
      </c>
      <c r="E44" s="561"/>
      <c r="F44" s="561" t="s">
        <v>234</v>
      </c>
      <c r="G44" s="562" t="s">
        <v>235</v>
      </c>
      <c r="H44" s="563" t="s">
        <v>236</v>
      </c>
      <c r="I44" s="226"/>
      <c r="J44" s="557" t="s">
        <v>377</v>
      </c>
      <c r="L44" s="2"/>
      <c r="M44" s="189" t="s">
        <v>232</v>
      </c>
      <c r="N44" s="2"/>
      <c r="O44" s="2"/>
      <c r="P44" s="2"/>
      <c r="Q44" s="6"/>
      <c r="R44" s="188"/>
      <c r="S44" s="188"/>
      <c r="T44" s="187"/>
      <c r="U44" s="2"/>
      <c r="V44" s="3"/>
    </row>
    <row r="45" spans="1:22" ht="15">
      <c r="A45" s="190" t="s">
        <v>334</v>
      </c>
      <c r="B45" s="6"/>
      <c r="C45" s="198"/>
      <c r="D45" s="281" t="s">
        <v>378</v>
      </c>
      <c r="E45" s="282" t="s">
        <v>379</v>
      </c>
      <c r="F45" s="559" t="s">
        <v>237</v>
      </c>
      <c r="G45" s="271"/>
      <c r="H45" s="565" t="s">
        <v>383</v>
      </c>
      <c r="I45" s="8"/>
      <c r="J45" s="487" t="s">
        <v>360</v>
      </c>
      <c r="K45" s="488"/>
      <c r="L45" s="488"/>
      <c r="M45" s="489"/>
      <c r="N45" s="525" t="s">
        <v>359</v>
      </c>
      <c r="O45" s="257"/>
      <c r="P45" s="258" t="s">
        <v>358</v>
      </c>
      <c r="Q45" s="518"/>
      <c r="R45" s="517"/>
      <c r="S45" s="517"/>
      <c r="T45" s="519"/>
      <c r="U45" s="3"/>
      <c r="V45" s="3"/>
    </row>
    <row r="46" spans="1:21" ht="12.75">
      <c r="A46" s="191" t="s">
        <v>380</v>
      </c>
      <c r="B46" s="6"/>
      <c r="C46" s="198"/>
      <c r="D46" s="272" t="s">
        <v>238</v>
      </c>
      <c r="E46" s="273" t="s">
        <v>238</v>
      </c>
      <c r="F46" s="273" t="s">
        <v>239</v>
      </c>
      <c r="G46" s="274" t="s">
        <v>240</v>
      </c>
      <c r="H46" s="275">
        <v>1</v>
      </c>
      <c r="I46" s="28"/>
      <c r="J46" s="259" t="s">
        <v>292</v>
      </c>
      <c r="K46" s="211"/>
      <c r="L46" s="211"/>
      <c r="M46" s="211"/>
      <c r="N46" s="247" t="s">
        <v>341</v>
      </c>
      <c r="O46" s="212"/>
      <c r="P46" s="250"/>
      <c r="Q46" s="254" t="s">
        <v>287</v>
      </c>
      <c r="R46" s="2" t="s">
        <v>282</v>
      </c>
      <c r="S46" s="6"/>
      <c r="T46" s="520"/>
      <c r="U46" s="186"/>
    </row>
    <row r="47" spans="1:20" ht="13.5" customHeight="1">
      <c r="A47" s="191" t="s">
        <v>381</v>
      </c>
      <c r="B47" s="6"/>
      <c r="C47" s="198"/>
      <c r="D47" s="276" t="s">
        <v>241</v>
      </c>
      <c r="E47" s="277" t="s">
        <v>241</v>
      </c>
      <c r="F47" s="277" t="s">
        <v>241</v>
      </c>
      <c r="G47" s="278" t="s">
        <v>242</v>
      </c>
      <c r="H47" s="279">
        <v>1.5</v>
      </c>
      <c r="I47" s="27"/>
      <c r="J47" s="260" t="s">
        <v>293</v>
      </c>
      <c r="K47" s="213"/>
      <c r="L47" s="213"/>
      <c r="M47" s="213"/>
      <c r="N47" s="248" t="s">
        <v>342</v>
      </c>
      <c r="O47" s="214"/>
      <c r="P47" s="251"/>
      <c r="Q47" s="255" t="s">
        <v>288</v>
      </c>
      <c r="R47" s="2" t="s">
        <v>283</v>
      </c>
      <c r="S47" s="6"/>
      <c r="T47" s="520"/>
    </row>
    <row r="48" spans="1:20" ht="15">
      <c r="A48" s="229"/>
      <c r="B48" s="564" t="s">
        <v>382</v>
      </c>
      <c r="C48" s="198"/>
      <c r="D48" s="276" t="s">
        <v>239</v>
      </c>
      <c r="E48" s="280" t="s">
        <v>243</v>
      </c>
      <c r="F48" s="277" t="s">
        <v>238</v>
      </c>
      <c r="G48" s="278" t="s">
        <v>244</v>
      </c>
      <c r="H48" s="279">
        <v>2</v>
      </c>
      <c r="I48" s="27"/>
      <c r="J48" s="260" t="s">
        <v>294</v>
      </c>
      <c r="K48" s="213"/>
      <c r="L48" s="213"/>
      <c r="M48" s="213"/>
      <c r="N48" s="248" t="s">
        <v>343</v>
      </c>
      <c r="O48" s="214"/>
      <c r="P48" s="251"/>
      <c r="Q48" s="255" t="s">
        <v>289</v>
      </c>
      <c r="R48" s="246" t="s">
        <v>284</v>
      </c>
      <c r="S48" s="6"/>
      <c r="T48" s="520"/>
    </row>
    <row r="49" spans="1:20" ht="12.75">
      <c r="A49" s="230"/>
      <c r="B49" s="192"/>
      <c r="C49" s="193"/>
      <c r="D49" s="281" t="s">
        <v>243</v>
      </c>
      <c r="E49" s="282" t="s">
        <v>239</v>
      </c>
      <c r="F49" s="282" t="s">
        <v>243</v>
      </c>
      <c r="G49" s="283" t="s">
        <v>245</v>
      </c>
      <c r="H49" s="284">
        <v>3</v>
      </c>
      <c r="I49" s="27"/>
      <c r="J49" s="265" t="s">
        <v>295</v>
      </c>
      <c r="K49" s="215"/>
      <c r="L49" s="215"/>
      <c r="M49" s="215"/>
      <c r="N49" s="249" t="s">
        <v>344</v>
      </c>
      <c r="O49" s="216"/>
      <c r="P49" s="252"/>
      <c r="Q49" s="256" t="s">
        <v>286</v>
      </c>
      <c r="R49" s="521"/>
      <c r="S49" s="521"/>
      <c r="T49" s="522"/>
    </row>
    <row r="50" spans="1:20" ht="12.75">
      <c r="A50" s="225"/>
      <c r="B50" s="225"/>
      <c r="C50" s="225"/>
      <c r="D50" s="225"/>
      <c r="E50" s="225"/>
      <c r="F50" s="225"/>
      <c r="G50" s="225"/>
      <c r="H50" s="225"/>
      <c r="I50" s="27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</row>
    <row r="51" spans="1:20" s="186" customFormat="1" ht="12" customHeight="1">
      <c r="A51" s="262" t="s">
        <v>285</v>
      </c>
      <c r="B51" s="232"/>
      <c r="C51" s="239"/>
      <c r="D51" s="263"/>
      <c r="E51" s="233"/>
      <c r="F51" s="285" t="s">
        <v>277</v>
      </c>
      <c r="G51" s="286" t="s">
        <v>269</v>
      </c>
      <c r="H51" s="264"/>
      <c r="I51" s="231"/>
      <c r="J51" s="527" t="s">
        <v>362</v>
      </c>
      <c r="K51" s="528"/>
      <c r="L51" s="529"/>
      <c r="M51" s="74" t="s">
        <v>367</v>
      </c>
      <c r="N51" s="533"/>
      <c r="O51" s="534"/>
      <c r="P51" s="238"/>
      <c r="Q51" s="238"/>
      <c r="R51" s="538"/>
      <c r="S51" s="535"/>
      <c r="T51" s="537"/>
    </row>
    <row r="52" spans="1:21" s="186" customFormat="1" ht="14.25" customHeight="1">
      <c r="A52" s="474" t="s">
        <v>369</v>
      </c>
      <c r="B52" s="473"/>
      <c r="C52" s="241"/>
      <c r="D52" s="287" t="s">
        <v>95</v>
      </c>
      <c r="E52" s="288"/>
      <c r="F52" s="289" t="s">
        <v>278</v>
      </c>
      <c r="G52" s="290" t="s">
        <v>270</v>
      </c>
      <c r="H52" s="475" t="s">
        <v>281</v>
      </c>
      <c r="J52" s="490" t="s">
        <v>370</v>
      </c>
      <c r="K52" s="536"/>
      <c r="L52" s="536"/>
      <c r="M52" s="530" t="s">
        <v>368</v>
      </c>
      <c r="N52" s="531"/>
      <c r="O52" s="531"/>
      <c r="P52" s="531"/>
      <c r="Q52" s="532"/>
      <c r="R52" s="521"/>
      <c r="S52" s="521"/>
      <c r="T52" s="522"/>
      <c r="U52"/>
    </row>
    <row r="53" spans="1:20" s="186" customFormat="1" ht="13.5" customHeight="1">
      <c r="A53" s="259" t="s">
        <v>274</v>
      </c>
      <c r="B53" s="238"/>
      <c r="C53" s="240"/>
      <c r="D53" s="211" t="s">
        <v>290</v>
      </c>
      <c r="E53" s="240"/>
      <c r="F53" s="291" t="s">
        <v>268</v>
      </c>
      <c r="G53" s="212" t="s">
        <v>268</v>
      </c>
      <c r="H53" s="202">
        <v>1</v>
      </c>
      <c r="I53" s="217"/>
      <c r="J53" s="225"/>
      <c r="K53" s="516"/>
      <c r="L53" s="253"/>
      <c r="M53" s="253"/>
      <c r="N53" s="253"/>
      <c r="O53" s="253"/>
      <c r="P53" s="253"/>
      <c r="Q53" s="253"/>
      <c r="R53" s="253"/>
      <c r="S53" s="253"/>
      <c r="T53" s="253"/>
    </row>
    <row r="54" spans="1:20" ht="13.5" customHeight="1">
      <c r="A54" s="260" t="s">
        <v>273</v>
      </c>
      <c r="B54" s="296"/>
      <c r="C54" s="292"/>
      <c r="D54" s="213" t="s">
        <v>275</v>
      </c>
      <c r="E54" s="292"/>
      <c r="F54" s="293" t="s">
        <v>280</v>
      </c>
      <c r="G54" s="214"/>
      <c r="H54" s="203">
        <v>2.5</v>
      </c>
      <c r="J54" s="190" t="s">
        <v>361</v>
      </c>
      <c r="K54" s="6"/>
      <c r="L54" s="198"/>
      <c r="M54" s="269" t="s">
        <v>246</v>
      </c>
      <c r="N54" s="269"/>
      <c r="O54" s="27"/>
      <c r="P54" s="27"/>
      <c r="Q54" s="270"/>
      <c r="R54" s="6"/>
      <c r="S54" s="6"/>
      <c r="T54" s="520"/>
    </row>
    <row r="55" spans="1:20" s="194" customFormat="1" ht="13.5" customHeight="1" thickBot="1">
      <c r="A55" s="297" t="s">
        <v>272</v>
      </c>
      <c r="B55" s="266"/>
      <c r="C55" s="267"/>
      <c r="D55" s="268" t="s">
        <v>276</v>
      </c>
      <c r="E55" s="267"/>
      <c r="F55" s="294" t="s">
        <v>279</v>
      </c>
      <c r="G55" s="261"/>
      <c r="H55" s="295">
        <v>5</v>
      </c>
      <c r="I55" s="412"/>
      <c r="J55" s="234" t="s">
        <v>371</v>
      </c>
      <c r="K55" s="17"/>
      <c r="L55" s="523"/>
      <c r="M55" s="235" t="s">
        <v>247</v>
      </c>
      <c r="N55" s="235"/>
      <c r="O55" s="236"/>
      <c r="P55" s="236"/>
      <c r="Q55" s="237"/>
      <c r="R55" s="17"/>
      <c r="S55" s="17"/>
      <c r="T55" s="524"/>
    </row>
    <row r="56" spans="1:8" s="195" customFormat="1" ht="13.5" customHeight="1">
      <c r="A56" s="232"/>
      <c r="B56" s="220" t="s">
        <v>271</v>
      </c>
      <c r="C56" s="232"/>
      <c r="D56" s="218"/>
      <c r="E56" s="6"/>
      <c r="F56" s="242"/>
      <c r="G56" s="242"/>
      <c r="H56" s="242"/>
    </row>
    <row r="57" s="195" customFormat="1" ht="13.5" customHeight="1">
      <c r="T57"/>
    </row>
    <row r="58" spans="9:20" s="195" customFormat="1" ht="13.5" customHeight="1">
      <c r="I58" s="6"/>
      <c r="J58" s="6"/>
      <c r="K58" s="6"/>
      <c r="L58" s="1"/>
      <c r="M58" s="1"/>
      <c r="N58" s="1"/>
      <c r="O58" s="1"/>
      <c r="P58" s="1"/>
      <c r="Q58" s="1"/>
      <c r="R58"/>
      <c r="S58"/>
      <c r="T58"/>
    </row>
    <row r="59" spans="1:20" s="195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1"/>
      <c r="M59" s="1"/>
      <c r="N59" s="1"/>
      <c r="O59" s="1"/>
      <c r="P59" s="1"/>
      <c r="Q59" s="1"/>
      <c r="R59"/>
      <c r="S59"/>
      <c r="T59"/>
    </row>
    <row r="60" spans="9:20" s="195" customFormat="1" ht="12.75">
      <c r="I60" s="231"/>
      <c r="K60" s="1"/>
      <c r="L60" s="1"/>
      <c r="M60" s="1"/>
      <c r="N60" s="1"/>
      <c r="O60" s="1"/>
      <c r="P60" s="1"/>
      <c r="Q60" s="1"/>
      <c r="R60"/>
      <c r="S60"/>
      <c r="T60"/>
    </row>
    <row r="61" spans="1:20" s="195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/>
      <c r="S61"/>
      <c r="T61"/>
    </row>
    <row r="62" spans="9:20" s="195" customFormat="1" ht="12.75">
      <c r="I62" s="1"/>
      <c r="J62" s="1"/>
      <c r="K62" s="1"/>
      <c r="L62" s="1"/>
      <c r="M62" s="1"/>
      <c r="N62" s="1"/>
      <c r="O62" s="1"/>
      <c r="P62" s="1"/>
      <c r="Q62" s="1"/>
      <c r="R62"/>
      <c r="S62"/>
      <c r="T62"/>
    </row>
    <row r="63" spans="9:20" s="195" customFormat="1" ht="12.75">
      <c r="I63" s="1"/>
      <c r="J63" s="1"/>
      <c r="K63" s="1"/>
      <c r="L63" s="1"/>
      <c r="M63" s="1"/>
      <c r="N63" s="1"/>
      <c r="O63" s="1"/>
      <c r="P63" s="1"/>
      <c r="Q63" s="1"/>
      <c r="R63"/>
      <c r="S63"/>
      <c r="T63"/>
    </row>
    <row r="64" spans="1:20" s="195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195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195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19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19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19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19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1" customFormat="1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11" customFormat="1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11" customFormat="1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11" customFormat="1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11" customFormat="1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11" customFormat="1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17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176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176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9" spans="1:20" s="196" customFormat="1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s="196" customFormat="1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s="196" customFormat="1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196" customFormat="1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sheetProtection/>
  <mergeCells count="9">
    <mergeCell ref="J34:J37"/>
    <mergeCell ref="P34:P37"/>
    <mergeCell ref="J41:T42"/>
    <mergeCell ref="D5:D6"/>
    <mergeCell ref="F5:F6"/>
    <mergeCell ref="G5:G6"/>
    <mergeCell ref="J8:J18"/>
    <mergeCell ref="P8:P33"/>
    <mergeCell ref="J19:J33"/>
  </mergeCells>
  <printOptions/>
  <pageMargins left="0.7" right="0.7" top="0.787401575" bottom="0.787401575" header="0.3" footer="0.3"/>
  <pageSetup orientation="portrait" paperSize="9"/>
  <ignoredErrors>
    <ignoredError sqref="Q46:Q49 N10:N32 T9:T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Palmstrøm</dc:creator>
  <cp:keywords/>
  <dc:description/>
  <cp:lastModifiedBy>Arild</cp:lastModifiedBy>
  <cp:lastPrinted>2008-07-19T08:57:41Z</cp:lastPrinted>
  <dcterms:created xsi:type="dcterms:W3CDTF">2002-03-03T15:33:20Z</dcterms:created>
  <dcterms:modified xsi:type="dcterms:W3CDTF">2011-02-23T22:43:51Z</dcterms:modified>
  <cp:category/>
  <cp:version/>
  <cp:contentType/>
  <cp:contentStatus/>
</cp:coreProperties>
</file>